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4-風險緩解A\"/>
    </mc:Choice>
  </mc:AlternateContent>
  <xr:revisionPtr revIDLastSave="0" documentId="13_ncr:1_{94FF8690-E577-44F8-8DD5-556CC3185B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" l="1"/>
  <c r="I185" i="1"/>
  <c r="J184" i="1"/>
  <c r="I184" i="1"/>
  <c r="J183" i="1"/>
  <c r="I183" i="1"/>
  <c r="E183" i="1"/>
  <c r="D183" i="1"/>
  <c r="B183" i="1"/>
  <c r="A183" i="1"/>
  <c r="Y182" i="1"/>
  <c r="W182" i="1"/>
  <c r="U182" i="1"/>
  <c r="S182" i="1"/>
  <c r="Q182" i="1"/>
  <c r="O182" i="1"/>
  <c r="M182" i="1"/>
  <c r="K182" i="1"/>
  <c r="J182" i="1"/>
  <c r="I182" i="1"/>
  <c r="C182" i="1"/>
  <c r="B182" i="1"/>
  <c r="Y181" i="1"/>
  <c r="W181" i="1"/>
  <c r="U181" i="1"/>
  <c r="S181" i="1"/>
  <c r="Q181" i="1"/>
  <c r="O181" i="1"/>
  <c r="M181" i="1"/>
  <c r="K181" i="1"/>
  <c r="J181" i="1"/>
  <c r="I181" i="1"/>
  <c r="C181" i="1"/>
  <c r="B181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G180" i="1"/>
  <c r="F180" i="1"/>
  <c r="E180" i="1"/>
  <c r="D180" i="1"/>
  <c r="C180" i="1"/>
  <c r="B180" i="1"/>
  <c r="A180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G179" i="1"/>
  <c r="F179" i="1"/>
  <c r="E179" i="1"/>
  <c r="D179" i="1"/>
  <c r="B179" i="1"/>
  <c r="A179" i="1"/>
  <c r="A178" i="1"/>
  <c r="J177" i="1"/>
  <c r="I177" i="1"/>
  <c r="J176" i="1"/>
  <c r="I176" i="1"/>
  <c r="J175" i="1"/>
  <c r="I175" i="1"/>
  <c r="E175" i="1"/>
  <c r="D175" i="1"/>
  <c r="B175" i="1"/>
  <c r="A175" i="1"/>
  <c r="Y174" i="1"/>
  <c r="W174" i="1"/>
  <c r="U174" i="1"/>
  <c r="S174" i="1"/>
  <c r="Q174" i="1"/>
  <c r="O174" i="1"/>
  <c r="M174" i="1"/>
  <c r="K174" i="1"/>
  <c r="J174" i="1"/>
  <c r="I174" i="1"/>
  <c r="C174" i="1"/>
  <c r="B174" i="1"/>
  <c r="Y173" i="1"/>
  <c r="W173" i="1"/>
  <c r="U173" i="1"/>
  <c r="S173" i="1"/>
  <c r="Q173" i="1"/>
  <c r="O173" i="1"/>
  <c r="M173" i="1"/>
  <c r="K173" i="1"/>
  <c r="J173" i="1"/>
  <c r="I173" i="1"/>
  <c r="C173" i="1"/>
  <c r="B173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G172" i="1"/>
  <c r="F172" i="1"/>
  <c r="E172" i="1"/>
  <c r="D172" i="1"/>
  <c r="C172" i="1"/>
  <c r="B172" i="1"/>
  <c r="A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G171" i="1"/>
  <c r="F171" i="1"/>
  <c r="E171" i="1"/>
  <c r="D171" i="1"/>
  <c r="B171" i="1"/>
  <c r="A171" i="1"/>
  <c r="A170" i="1"/>
  <c r="J169" i="1"/>
  <c r="I169" i="1"/>
  <c r="J168" i="1"/>
  <c r="I168" i="1"/>
  <c r="J167" i="1"/>
  <c r="I167" i="1"/>
  <c r="E167" i="1"/>
  <c r="D167" i="1"/>
  <c r="B167" i="1"/>
  <c r="A167" i="1"/>
  <c r="Y166" i="1"/>
  <c r="W166" i="1"/>
  <c r="U166" i="1"/>
  <c r="S166" i="1"/>
  <c r="Q166" i="1"/>
  <c r="O166" i="1"/>
  <c r="M166" i="1"/>
  <c r="K166" i="1"/>
  <c r="J166" i="1"/>
  <c r="I166" i="1"/>
  <c r="C166" i="1"/>
  <c r="B166" i="1"/>
  <c r="Y165" i="1"/>
  <c r="W165" i="1"/>
  <c r="U165" i="1"/>
  <c r="S165" i="1"/>
  <c r="Q165" i="1"/>
  <c r="O165" i="1"/>
  <c r="M165" i="1"/>
  <c r="K165" i="1"/>
  <c r="J165" i="1"/>
  <c r="I165" i="1"/>
  <c r="C165" i="1"/>
  <c r="B165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G164" i="1"/>
  <c r="F164" i="1"/>
  <c r="E164" i="1"/>
  <c r="D164" i="1"/>
  <c r="C164" i="1"/>
  <c r="B164" i="1"/>
  <c r="A164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G163" i="1"/>
  <c r="F163" i="1"/>
  <c r="E163" i="1"/>
  <c r="D163" i="1"/>
  <c r="B163" i="1"/>
  <c r="A163" i="1"/>
  <c r="A162" i="1"/>
  <c r="J161" i="1"/>
  <c r="I161" i="1"/>
  <c r="J160" i="1"/>
  <c r="I160" i="1"/>
  <c r="E160" i="1"/>
  <c r="D160" i="1"/>
  <c r="B160" i="1"/>
  <c r="A160" i="1"/>
  <c r="Y159" i="1"/>
  <c r="W159" i="1"/>
  <c r="U159" i="1"/>
  <c r="S159" i="1"/>
  <c r="Q159" i="1"/>
  <c r="O159" i="1"/>
  <c r="M159" i="1"/>
  <c r="K159" i="1"/>
  <c r="J159" i="1"/>
  <c r="I159" i="1"/>
  <c r="C159" i="1"/>
  <c r="B159" i="1"/>
  <c r="Y158" i="1"/>
  <c r="W158" i="1"/>
  <c r="U158" i="1"/>
  <c r="S158" i="1"/>
  <c r="Q158" i="1"/>
  <c r="O158" i="1"/>
  <c r="M158" i="1"/>
  <c r="K158" i="1"/>
  <c r="J158" i="1"/>
  <c r="I158" i="1"/>
  <c r="C158" i="1"/>
  <c r="B158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E157" i="1"/>
  <c r="D157" i="1"/>
  <c r="C157" i="1"/>
  <c r="B157" i="1"/>
  <c r="A157" i="1"/>
  <c r="J156" i="1"/>
  <c r="I156" i="1"/>
  <c r="AC155" i="1"/>
  <c r="AB155" i="1"/>
  <c r="AA155" i="1"/>
  <c r="J155" i="1"/>
  <c r="I155" i="1"/>
  <c r="G155" i="1"/>
  <c r="F155" i="1"/>
  <c r="E155" i="1"/>
  <c r="D155" i="1"/>
  <c r="B155" i="1"/>
  <c r="A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G154" i="1"/>
  <c r="F154" i="1"/>
  <c r="E154" i="1"/>
  <c r="D154" i="1"/>
  <c r="B154" i="1"/>
  <c r="A154" i="1"/>
  <c r="A153" i="1"/>
  <c r="J152" i="1"/>
  <c r="I152" i="1"/>
  <c r="J151" i="1"/>
  <c r="I151" i="1"/>
  <c r="J150" i="1"/>
  <c r="I150" i="1"/>
  <c r="E150" i="1"/>
  <c r="D150" i="1"/>
  <c r="B150" i="1"/>
  <c r="A150" i="1"/>
  <c r="Y149" i="1"/>
  <c r="W149" i="1"/>
  <c r="U149" i="1"/>
  <c r="S149" i="1"/>
  <c r="Q149" i="1"/>
  <c r="O149" i="1"/>
  <c r="M149" i="1"/>
  <c r="K149" i="1"/>
  <c r="J149" i="1"/>
  <c r="I149" i="1"/>
  <c r="C149" i="1"/>
  <c r="B149" i="1"/>
  <c r="Y148" i="1"/>
  <c r="W148" i="1"/>
  <c r="U148" i="1"/>
  <c r="S148" i="1"/>
  <c r="Q148" i="1"/>
  <c r="O148" i="1"/>
  <c r="M148" i="1"/>
  <c r="K148" i="1"/>
  <c r="J148" i="1"/>
  <c r="I148" i="1"/>
  <c r="C148" i="1"/>
  <c r="B148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G147" i="1"/>
  <c r="F147" i="1"/>
  <c r="E147" i="1"/>
  <c r="D147" i="1"/>
  <c r="C147" i="1"/>
  <c r="B147" i="1"/>
  <c r="A147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G146" i="1"/>
  <c r="F146" i="1"/>
  <c r="E146" i="1"/>
  <c r="D146" i="1"/>
  <c r="B146" i="1"/>
  <c r="A146" i="1"/>
  <c r="A145" i="1"/>
  <c r="J144" i="1"/>
  <c r="I144" i="1"/>
  <c r="J143" i="1"/>
  <c r="I143" i="1"/>
  <c r="E143" i="1"/>
  <c r="D143" i="1"/>
  <c r="B143" i="1"/>
  <c r="A143" i="1"/>
  <c r="Y142" i="1"/>
  <c r="W142" i="1"/>
  <c r="U142" i="1"/>
  <c r="S142" i="1"/>
  <c r="Q142" i="1"/>
  <c r="O142" i="1"/>
  <c r="M142" i="1"/>
  <c r="K142" i="1"/>
  <c r="J142" i="1"/>
  <c r="I142" i="1"/>
  <c r="C142" i="1"/>
  <c r="B142" i="1"/>
  <c r="Y141" i="1"/>
  <c r="W141" i="1"/>
  <c r="U141" i="1"/>
  <c r="S141" i="1"/>
  <c r="Q141" i="1"/>
  <c r="O141" i="1"/>
  <c r="M141" i="1"/>
  <c r="K141" i="1"/>
  <c r="J141" i="1"/>
  <c r="I141" i="1"/>
  <c r="C141" i="1"/>
  <c r="B141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E140" i="1"/>
  <c r="D140" i="1"/>
  <c r="C140" i="1"/>
  <c r="B140" i="1"/>
  <c r="A140" i="1"/>
  <c r="J139" i="1"/>
  <c r="I139" i="1"/>
  <c r="AC138" i="1"/>
  <c r="AB138" i="1"/>
  <c r="AA138" i="1"/>
  <c r="J138" i="1"/>
  <c r="I138" i="1"/>
  <c r="G138" i="1"/>
  <c r="F138" i="1"/>
  <c r="E138" i="1"/>
  <c r="D138" i="1"/>
  <c r="B138" i="1"/>
  <c r="A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G137" i="1"/>
  <c r="F137" i="1"/>
  <c r="E137" i="1"/>
  <c r="D137" i="1"/>
  <c r="B137" i="1"/>
  <c r="A137" i="1"/>
  <c r="A136" i="1"/>
  <c r="J135" i="1"/>
  <c r="I135" i="1"/>
  <c r="J134" i="1"/>
  <c r="I134" i="1"/>
  <c r="E134" i="1"/>
  <c r="D134" i="1"/>
  <c r="B134" i="1"/>
  <c r="A134" i="1"/>
  <c r="J133" i="1"/>
  <c r="I133" i="1"/>
  <c r="J132" i="1"/>
  <c r="I132" i="1"/>
  <c r="J131" i="1"/>
  <c r="I131" i="1"/>
  <c r="E131" i="1"/>
  <c r="D131" i="1"/>
  <c r="B131" i="1"/>
  <c r="A131" i="1"/>
  <c r="Y130" i="1"/>
  <c r="W130" i="1"/>
  <c r="U130" i="1"/>
  <c r="S130" i="1"/>
  <c r="Q130" i="1"/>
  <c r="O130" i="1"/>
  <c r="M130" i="1"/>
  <c r="K130" i="1"/>
  <c r="J130" i="1"/>
  <c r="I130" i="1"/>
  <c r="C130" i="1"/>
  <c r="B130" i="1"/>
  <c r="Y129" i="1"/>
  <c r="W129" i="1"/>
  <c r="U129" i="1"/>
  <c r="S129" i="1"/>
  <c r="Q129" i="1"/>
  <c r="O129" i="1"/>
  <c r="M129" i="1"/>
  <c r="K129" i="1"/>
  <c r="J129" i="1"/>
  <c r="I129" i="1"/>
  <c r="C129" i="1"/>
  <c r="B129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G128" i="1"/>
  <c r="F128" i="1"/>
  <c r="E128" i="1"/>
  <c r="D128" i="1"/>
  <c r="C128" i="1"/>
  <c r="B128" i="1"/>
  <c r="A128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G127" i="1"/>
  <c r="F127" i="1"/>
  <c r="E127" i="1"/>
  <c r="D127" i="1"/>
  <c r="B127" i="1"/>
  <c r="A127" i="1"/>
  <c r="A126" i="1"/>
  <c r="J125" i="1"/>
  <c r="I125" i="1"/>
  <c r="J124" i="1"/>
  <c r="I124" i="1"/>
  <c r="E124" i="1"/>
  <c r="D124" i="1"/>
  <c r="B124" i="1"/>
  <c r="A124" i="1"/>
  <c r="Y123" i="1"/>
  <c r="W123" i="1"/>
  <c r="U123" i="1"/>
  <c r="S123" i="1"/>
  <c r="Q123" i="1"/>
  <c r="O123" i="1"/>
  <c r="M123" i="1"/>
  <c r="K123" i="1"/>
  <c r="J123" i="1"/>
  <c r="I123" i="1"/>
  <c r="C123" i="1"/>
  <c r="B123" i="1"/>
  <c r="Y122" i="1"/>
  <c r="W122" i="1"/>
  <c r="U122" i="1"/>
  <c r="S122" i="1"/>
  <c r="Q122" i="1"/>
  <c r="O122" i="1"/>
  <c r="M122" i="1"/>
  <c r="K122" i="1"/>
  <c r="J122" i="1"/>
  <c r="I122" i="1"/>
  <c r="C122" i="1"/>
  <c r="B122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E121" i="1"/>
  <c r="D121" i="1"/>
  <c r="C121" i="1"/>
  <c r="B121" i="1"/>
  <c r="A121" i="1"/>
  <c r="Q120" i="1"/>
  <c r="O120" i="1"/>
  <c r="M120" i="1"/>
  <c r="K120" i="1"/>
  <c r="J120" i="1"/>
  <c r="I120" i="1"/>
  <c r="C120" i="1"/>
  <c r="B120" i="1"/>
  <c r="R119" i="1"/>
  <c r="Q119" i="1"/>
  <c r="P119" i="1"/>
  <c r="O119" i="1"/>
  <c r="N119" i="1"/>
  <c r="M119" i="1"/>
  <c r="L119" i="1"/>
  <c r="K119" i="1"/>
  <c r="J119" i="1"/>
  <c r="I119" i="1"/>
  <c r="E119" i="1"/>
  <c r="D119" i="1"/>
  <c r="C119" i="1"/>
  <c r="B119" i="1"/>
  <c r="A119" i="1"/>
  <c r="J118" i="1"/>
  <c r="I118" i="1"/>
  <c r="AC117" i="1"/>
  <c r="AB117" i="1"/>
  <c r="AA117" i="1"/>
  <c r="J117" i="1"/>
  <c r="I117" i="1"/>
  <c r="G117" i="1"/>
  <c r="F117" i="1"/>
  <c r="E117" i="1"/>
  <c r="D117" i="1"/>
  <c r="B117" i="1"/>
  <c r="A117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G116" i="1"/>
  <c r="F116" i="1"/>
  <c r="E116" i="1"/>
  <c r="D116" i="1"/>
  <c r="B116" i="1"/>
  <c r="A116" i="1"/>
  <c r="A115" i="1"/>
  <c r="J114" i="1"/>
  <c r="I114" i="1"/>
  <c r="J113" i="1"/>
  <c r="I113" i="1"/>
  <c r="J112" i="1"/>
  <c r="I112" i="1"/>
  <c r="E112" i="1"/>
  <c r="D112" i="1"/>
  <c r="B112" i="1"/>
  <c r="A112" i="1"/>
  <c r="Y111" i="1"/>
  <c r="W111" i="1"/>
  <c r="U111" i="1"/>
  <c r="S111" i="1"/>
  <c r="Q111" i="1"/>
  <c r="O111" i="1"/>
  <c r="M111" i="1"/>
  <c r="K111" i="1"/>
  <c r="J111" i="1"/>
  <c r="I111" i="1"/>
  <c r="C111" i="1"/>
  <c r="B111" i="1"/>
  <c r="Y110" i="1"/>
  <c r="W110" i="1"/>
  <c r="U110" i="1"/>
  <c r="S110" i="1"/>
  <c r="Q110" i="1"/>
  <c r="O110" i="1"/>
  <c r="M110" i="1"/>
  <c r="K110" i="1"/>
  <c r="J110" i="1"/>
  <c r="I110" i="1"/>
  <c r="C110" i="1"/>
  <c r="B110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G109" i="1"/>
  <c r="F109" i="1"/>
  <c r="E109" i="1"/>
  <c r="D109" i="1"/>
  <c r="C109" i="1"/>
  <c r="B109" i="1"/>
  <c r="A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G108" i="1"/>
  <c r="F108" i="1"/>
  <c r="E108" i="1"/>
  <c r="D108" i="1"/>
  <c r="B108" i="1"/>
  <c r="A108" i="1"/>
  <c r="A107" i="1"/>
  <c r="J106" i="1"/>
  <c r="I106" i="1"/>
  <c r="J105" i="1"/>
  <c r="I105" i="1"/>
  <c r="E105" i="1"/>
  <c r="D105" i="1"/>
  <c r="B105" i="1"/>
  <c r="A105" i="1"/>
  <c r="Y104" i="1"/>
  <c r="W104" i="1"/>
  <c r="U104" i="1"/>
  <c r="S104" i="1"/>
  <c r="Q104" i="1"/>
  <c r="O104" i="1"/>
  <c r="M104" i="1"/>
  <c r="K104" i="1"/>
  <c r="J104" i="1"/>
  <c r="I104" i="1"/>
  <c r="C104" i="1"/>
  <c r="B104" i="1"/>
  <c r="Y103" i="1"/>
  <c r="W103" i="1"/>
  <c r="U103" i="1"/>
  <c r="S103" i="1"/>
  <c r="Q103" i="1"/>
  <c r="O103" i="1"/>
  <c r="M103" i="1"/>
  <c r="K103" i="1"/>
  <c r="J103" i="1"/>
  <c r="I103" i="1"/>
  <c r="C103" i="1"/>
  <c r="B103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E102" i="1"/>
  <c r="D102" i="1"/>
  <c r="C102" i="1"/>
  <c r="B102" i="1"/>
  <c r="A102" i="1"/>
  <c r="J101" i="1"/>
  <c r="I101" i="1"/>
  <c r="AC100" i="1"/>
  <c r="AB100" i="1"/>
  <c r="AA100" i="1"/>
  <c r="J100" i="1"/>
  <c r="I100" i="1"/>
  <c r="G100" i="1"/>
  <c r="F100" i="1"/>
  <c r="E100" i="1"/>
  <c r="D100" i="1"/>
  <c r="B100" i="1"/>
  <c r="A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G99" i="1"/>
  <c r="F99" i="1"/>
  <c r="E99" i="1"/>
  <c r="D99" i="1"/>
  <c r="B99" i="1"/>
  <c r="A99" i="1"/>
  <c r="A98" i="1"/>
  <c r="J97" i="1"/>
  <c r="I97" i="1"/>
  <c r="J96" i="1"/>
  <c r="I96" i="1"/>
  <c r="E96" i="1"/>
  <c r="D96" i="1"/>
  <c r="B96" i="1"/>
  <c r="A96" i="1"/>
  <c r="J95" i="1"/>
  <c r="I95" i="1"/>
  <c r="J94" i="1"/>
  <c r="I94" i="1"/>
  <c r="J93" i="1"/>
  <c r="I93" i="1"/>
  <c r="E93" i="1"/>
  <c r="D93" i="1"/>
  <c r="B93" i="1"/>
  <c r="A93" i="1"/>
  <c r="Y92" i="1"/>
  <c r="W92" i="1"/>
  <c r="U92" i="1"/>
  <c r="S92" i="1"/>
  <c r="Q92" i="1"/>
  <c r="O92" i="1"/>
  <c r="M92" i="1"/>
  <c r="K92" i="1"/>
  <c r="J92" i="1"/>
  <c r="I92" i="1"/>
  <c r="C92" i="1"/>
  <c r="B92" i="1"/>
  <c r="Y91" i="1"/>
  <c r="W91" i="1"/>
  <c r="U91" i="1"/>
  <c r="S91" i="1"/>
  <c r="Q91" i="1"/>
  <c r="O91" i="1"/>
  <c r="M91" i="1"/>
  <c r="K91" i="1"/>
  <c r="J91" i="1"/>
  <c r="I91" i="1"/>
  <c r="C91" i="1"/>
  <c r="B91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G90" i="1"/>
  <c r="F90" i="1"/>
  <c r="E90" i="1"/>
  <c r="D90" i="1"/>
  <c r="C90" i="1"/>
  <c r="B90" i="1"/>
  <c r="A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D89" i="1"/>
  <c r="B89" i="1"/>
  <c r="A89" i="1"/>
  <c r="A88" i="1"/>
  <c r="J87" i="1"/>
  <c r="I87" i="1"/>
  <c r="J86" i="1"/>
  <c r="I86" i="1"/>
  <c r="E86" i="1"/>
  <c r="D86" i="1"/>
  <c r="B86" i="1"/>
  <c r="A86" i="1"/>
  <c r="Y85" i="1"/>
  <c r="W85" i="1"/>
  <c r="U85" i="1"/>
  <c r="S85" i="1"/>
  <c r="Q85" i="1"/>
  <c r="O85" i="1"/>
  <c r="M85" i="1"/>
  <c r="K85" i="1"/>
  <c r="J85" i="1"/>
  <c r="I85" i="1"/>
  <c r="C85" i="1"/>
  <c r="B85" i="1"/>
  <c r="Y84" i="1"/>
  <c r="W84" i="1"/>
  <c r="U84" i="1"/>
  <c r="S84" i="1"/>
  <c r="Q84" i="1"/>
  <c r="O84" i="1"/>
  <c r="M84" i="1"/>
  <c r="K84" i="1"/>
  <c r="J84" i="1"/>
  <c r="I84" i="1"/>
  <c r="C84" i="1"/>
  <c r="B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E83" i="1"/>
  <c r="D83" i="1"/>
  <c r="C83" i="1"/>
  <c r="B83" i="1"/>
  <c r="A83" i="1"/>
  <c r="Q82" i="1"/>
  <c r="O82" i="1"/>
  <c r="M82" i="1"/>
  <c r="K82" i="1"/>
  <c r="J82" i="1"/>
  <c r="I82" i="1"/>
  <c r="C82" i="1"/>
  <c r="B82" i="1"/>
  <c r="R81" i="1"/>
  <c r="Q81" i="1"/>
  <c r="P81" i="1"/>
  <c r="O81" i="1"/>
  <c r="N81" i="1"/>
  <c r="M81" i="1"/>
  <c r="L81" i="1"/>
  <c r="K81" i="1"/>
  <c r="J81" i="1"/>
  <c r="I81" i="1"/>
  <c r="E81" i="1"/>
  <c r="D81" i="1"/>
  <c r="C81" i="1"/>
  <c r="B81" i="1"/>
  <c r="A81" i="1"/>
  <c r="J80" i="1"/>
  <c r="I80" i="1"/>
  <c r="AC79" i="1"/>
  <c r="AB79" i="1"/>
  <c r="AA79" i="1"/>
  <c r="J79" i="1"/>
  <c r="I79" i="1"/>
  <c r="G79" i="1"/>
  <c r="F79" i="1"/>
  <c r="E79" i="1"/>
  <c r="D79" i="1"/>
  <c r="B79" i="1"/>
  <c r="A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G78" i="1"/>
  <c r="F78" i="1"/>
  <c r="E78" i="1"/>
  <c r="D78" i="1"/>
  <c r="B78" i="1"/>
  <c r="A78" i="1"/>
  <c r="A77" i="1"/>
  <c r="J76" i="1"/>
  <c r="I76" i="1"/>
  <c r="J75" i="1"/>
  <c r="I75" i="1"/>
  <c r="J74" i="1"/>
  <c r="I74" i="1"/>
  <c r="E74" i="1"/>
  <c r="D74" i="1"/>
  <c r="B74" i="1"/>
  <c r="A74" i="1"/>
  <c r="Y73" i="1"/>
  <c r="W73" i="1"/>
  <c r="U73" i="1"/>
  <c r="S73" i="1"/>
  <c r="Q73" i="1"/>
  <c r="O73" i="1"/>
  <c r="M73" i="1"/>
  <c r="K73" i="1"/>
  <c r="J73" i="1"/>
  <c r="I73" i="1"/>
  <c r="C73" i="1"/>
  <c r="B73" i="1"/>
  <c r="Y72" i="1"/>
  <c r="W72" i="1"/>
  <c r="U72" i="1"/>
  <c r="S72" i="1"/>
  <c r="Q72" i="1"/>
  <c r="O72" i="1"/>
  <c r="M72" i="1"/>
  <c r="K72" i="1"/>
  <c r="J72" i="1"/>
  <c r="I72" i="1"/>
  <c r="C72" i="1"/>
  <c r="B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G71" i="1"/>
  <c r="F71" i="1"/>
  <c r="E71" i="1"/>
  <c r="D71" i="1"/>
  <c r="C71" i="1"/>
  <c r="B71" i="1"/>
  <c r="A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G70" i="1"/>
  <c r="F70" i="1"/>
  <c r="E70" i="1"/>
  <c r="D70" i="1"/>
  <c r="B70" i="1"/>
  <c r="A70" i="1"/>
  <c r="A69" i="1"/>
  <c r="J68" i="1"/>
  <c r="I68" i="1"/>
  <c r="J67" i="1"/>
  <c r="I67" i="1"/>
  <c r="E67" i="1"/>
  <c r="D67" i="1"/>
  <c r="B67" i="1"/>
  <c r="A67" i="1"/>
  <c r="Y66" i="1"/>
  <c r="W66" i="1"/>
  <c r="U66" i="1"/>
  <c r="S66" i="1"/>
  <c r="Q66" i="1"/>
  <c r="O66" i="1"/>
  <c r="M66" i="1"/>
  <c r="K66" i="1"/>
  <c r="J66" i="1"/>
  <c r="I66" i="1"/>
  <c r="C66" i="1"/>
  <c r="B66" i="1"/>
  <c r="Y65" i="1"/>
  <c r="W65" i="1"/>
  <c r="U65" i="1"/>
  <c r="S65" i="1"/>
  <c r="Q65" i="1"/>
  <c r="O65" i="1"/>
  <c r="M65" i="1"/>
  <c r="K65" i="1"/>
  <c r="J65" i="1"/>
  <c r="I65" i="1"/>
  <c r="C65" i="1"/>
  <c r="B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E64" i="1"/>
  <c r="D64" i="1"/>
  <c r="C64" i="1"/>
  <c r="B64" i="1"/>
  <c r="A64" i="1"/>
  <c r="J63" i="1"/>
  <c r="I63" i="1"/>
  <c r="AC62" i="1"/>
  <c r="AB62" i="1"/>
  <c r="AA62" i="1"/>
  <c r="J62" i="1"/>
  <c r="I62" i="1"/>
  <c r="G62" i="1"/>
  <c r="F62" i="1"/>
  <c r="E62" i="1"/>
  <c r="D62" i="1"/>
  <c r="B62" i="1"/>
  <c r="A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G61" i="1"/>
  <c r="F61" i="1"/>
  <c r="E61" i="1"/>
  <c r="D61" i="1"/>
  <c r="B61" i="1"/>
  <c r="A61" i="1"/>
  <c r="A60" i="1"/>
  <c r="J59" i="1"/>
  <c r="I59" i="1"/>
  <c r="J58" i="1"/>
  <c r="I58" i="1"/>
  <c r="E58" i="1"/>
  <c r="D58" i="1"/>
  <c r="B58" i="1"/>
  <c r="A58" i="1"/>
  <c r="J57" i="1"/>
  <c r="I57" i="1"/>
  <c r="J56" i="1"/>
  <c r="I56" i="1"/>
  <c r="J55" i="1"/>
  <c r="I55" i="1"/>
  <c r="E55" i="1"/>
  <c r="D55" i="1"/>
  <c r="B55" i="1"/>
  <c r="A55" i="1"/>
  <c r="Y54" i="1"/>
  <c r="W54" i="1"/>
  <c r="U54" i="1"/>
  <c r="S54" i="1"/>
  <c r="Q54" i="1"/>
  <c r="O54" i="1"/>
  <c r="M54" i="1"/>
  <c r="K54" i="1"/>
  <c r="J54" i="1"/>
  <c r="I54" i="1"/>
  <c r="C54" i="1"/>
  <c r="B54" i="1"/>
  <c r="Y53" i="1"/>
  <c r="W53" i="1"/>
  <c r="U53" i="1"/>
  <c r="S53" i="1"/>
  <c r="Q53" i="1"/>
  <c r="O53" i="1"/>
  <c r="M53" i="1"/>
  <c r="K53" i="1"/>
  <c r="J53" i="1"/>
  <c r="I53" i="1"/>
  <c r="C53" i="1"/>
  <c r="B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G52" i="1"/>
  <c r="F52" i="1"/>
  <c r="E52" i="1"/>
  <c r="D52" i="1"/>
  <c r="C52" i="1"/>
  <c r="B52" i="1"/>
  <c r="A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G51" i="1"/>
  <c r="F51" i="1"/>
  <c r="E51" i="1"/>
  <c r="D51" i="1"/>
  <c r="B51" i="1"/>
  <c r="A51" i="1"/>
  <c r="A50" i="1"/>
  <c r="J49" i="1"/>
  <c r="I49" i="1"/>
  <c r="J48" i="1"/>
  <c r="I48" i="1"/>
  <c r="E48" i="1"/>
  <c r="D48" i="1"/>
  <c r="B48" i="1"/>
  <c r="A48" i="1"/>
  <c r="Y47" i="1"/>
  <c r="W47" i="1"/>
  <c r="U47" i="1"/>
  <c r="S47" i="1"/>
  <c r="Q47" i="1"/>
  <c r="O47" i="1"/>
  <c r="M47" i="1"/>
  <c r="K47" i="1"/>
  <c r="J47" i="1"/>
  <c r="I47" i="1"/>
  <c r="C47" i="1"/>
  <c r="B47" i="1"/>
  <c r="Y46" i="1"/>
  <c r="W46" i="1"/>
  <c r="U46" i="1"/>
  <c r="S46" i="1"/>
  <c r="Q46" i="1"/>
  <c r="O46" i="1"/>
  <c r="M46" i="1"/>
  <c r="K46" i="1"/>
  <c r="J46" i="1"/>
  <c r="I46" i="1"/>
  <c r="C46" i="1"/>
  <c r="B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E45" i="1"/>
  <c r="D45" i="1"/>
  <c r="C45" i="1"/>
  <c r="B45" i="1"/>
  <c r="A45" i="1"/>
  <c r="Q44" i="1"/>
  <c r="O44" i="1"/>
  <c r="M44" i="1"/>
  <c r="K44" i="1"/>
  <c r="J44" i="1"/>
  <c r="I44" i="1"/>
  <c r="C44" i="1"/>
  <c r="B44" i="1"/>
  <c r="R43" i="1"/>
  <c r="Q43" i="1"/>
  <c r="P43" i="1"/>
  <c r="O43" i="1"/>
  <c r="N43" i="1"/>
  <c r="M43" i="1"/>
  <c r="L43" i="1"/>
  <c r="K43" i="1"/>
  <c r="J43" i="1"/>
  <c r="I43" i="1"/>
  <c r="E43" i="1"/>
  <c r="D43" i="1"/>
  <c r="C43" i="1"/>
  <c r="B43" i="1"/>
  <c r="A43" i="1"/>
  <c r="J42" i="1"/>
  <c r="I42" i="1"/>
  <c r="AC41" i="1"/>
  <c r="AB41" i="1"/>
  <c r="AA41" i="1"/>
  <c r="J41" i="1"/>
  <c r="I41" i="1"/>
  <c r="G41" i="1"/>
  <c r="F41" i="1"/>
  <c r="E41" i="1"/>
  <c r="D41" i="1"/>
  <c r="B41" i="1"/>
  <c r="A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E40" i="1"/>
  <c r="D40" i="1"/>
  <c r="B40" i="1"/>
  <c r="A40" i="1"/>
  <c r="A39" i="1"/>
  <c r="J38" i="1"/>
  <c r="I38" i="1"/>
  <c r="J37" i="1"/>
  <c r="I37" i="1"/>
  <c r="J36" i="1"/>
  <c r="I36" i="1"/>
  <c r="E36" i="1"/>
  <c r="D36" i="1"/>
  <c r="B36" i="1"/>
  <c r="A36" i="1"/>
  <c r="Y35" i="1"/>
  <c r="W35" i="1"/>
  <c r="U35" i="1"/>
  <c r="S35" i="1"/>
  <c r="Q35" i="1"/>
  <c r="O35" i="1"/>
  <c r="M35" i="1"/>
  <c r="K35" i="1"/>
  <c r="J35" i="1"/>
  <c r="I35" i="1"/>
  <c r="C35" i="1"/>
  <c r="B35" i="1"/>
  <c r="Y34" i="1"/>
  <c r="W34" i="1"/>
  <c r="U34" i="1"/>
  <c r="S34" i="1"/>
  <c r="Q34" i="1"/>
  <c r="O34" i="1"/>
  <c r="M34" i="1"/>
  <c r="K34" i="1"/>
  <c r="J34" i="1"/>
  <c r="I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G33" i="1"/>
  <c r="F33" i="1"/>
  <c r="E33" i="1"/>
  <c r="D33" i="1"/>
  <c r="C33" i="1"/>
  <c r="B33" i="1"/>
  <c r="A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F32" i="1"/>
  <c r="E32" i="1"/>
  <c r="D32" i="1"/>
  <c r="B32" i="1"/>
  <c r="A32" i="1"/>
  <c r="A31" i="1"/>
  <c r="J30" i="1"/>
  <c r="I30" i="1"/>
  <c r="J29" i="1"/>
  <c r="I29" i="1"/>
  <c r="E29" i="1"/>
  <c r="D29" i="1"/>
  <c r="B29" i="1"/>
  <c r="A29" i="1"/>
  <c r="Y28" i="1"/>
  <c r="W28" i="1"/>
  <c r="U28" i="1"/>
  <c r="S28" i="1"/>
  <c r="Q28" i="1"/>
  <c r="O28" i="1"/>
  <c r="M28" i="1"/>
  <c r="K28" i="1"/>
  <c r="J28" i="1"/>
  <c r="I28" i="1"/>
  <c r="C28" i="1"/>
  <c r="B28" i="1"/>
  <c r="Y27" i="1"/>
  <c r="W27" i="1"/>
  <c r="U27" i="1"/>
  <c r="S27" i="1"/>
  <c r="Q27" i="1"/>
  <c r="O27" i="1"/>
  <c r="M27" i="1"/>
  <c r="K27" i="1"/>
  <c r="J27" i="1"/>
  <c r="I27" i="1"/>
  <c r="C27" i="1"/>
  <c r="B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E26" i="1"/>
  <c r="D26" i="1"/>
  <c r="C26" i="1"/>
  <c r="B26" i="1"/>
  <c r="A26" i="1"/>
  <c r="J25" i="1"/>
  <c r="I25" i="1"/>
  <c r="AC24" i="1"/>
  <c r="AB24" i="1"/>
  <c r="AA24" i="1"/>
  <c r="J24" i="1"/>
  <c r="I24" i="1"/>
  <c r="G24" i="1"/>
  <c r="F24" i="1"/>
  <c r="E24" i="1"/>
  <c r="D24" i="1"/>
  <c r="B24" i="1"/>
  <c r="A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D23" i="1"/>
  <c r="B23" i="1"/>
  <c r="A23" i="1"/>
  <c r="A22" i="1"/>
  <c r="J21" i="1"/>
  <c r="I21" i="1"/>
  <c r="J20" i="1"/>
  <c r="I20" i="1"/>
  <c r="E20" i="1"/>
  <c r="D20" i="1"/>
  <c r="B20" i="1"/>
  <c r="A20" i="1"/>
  <c r="J19" i="1"/>
  <c r="I19" i="1"/>
  <c r="J18" i="1"/>
  <c r="I18" i="1"/>
  <c r="J17" i="1"/>
  <c r="I17" i="1"/>
  <c r="E17" i="1"/>
  <c r="D17" i="1"/>
  <c r="B17" i="1"/>
  <c r="A17" i="1"/>
  <c r="Y16" i="1"/>
  <c r="W16" i="1"/>
  <c r="U16" i="1"/>
  <c r="S16" i="1"/>
  <c r="Q16" i="1"/>
  <c r="O16" i="1"/>
  <c r="M16" i="1"/>
  <c r="K16" i="1"/>
  <c r="J16" i="1"/>
  <c r="I16" i="1"/>
  <c r="C16" i="1"/>
  <c r="B16" i="1"/>
  <c r="Y15" i="1"/>
  <c r="W15" i="1"/>
  <c r="U15" i="1"/>
  <c r="S15" i="1"/>
  <c r="Q15" i="1"/>
  <c r="O15" i="1"/>
  <c r="M15" i="1"/>
  <c r="K15" i="1"/>
  <c r="J15" i="1"/>
  <c r="I15" i="1"/>
  <c r="C15" i="1"/>
  <c r="B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B14" i="1"/>
  <c r="A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B13" i="1"/>
  <c r="A13" i="1"/>
  <c r="A12" i="1"/>
  <c r="J11" i="1"/>
  <c r="I11" i="1"/>
  <c r="J10" i="1"/>
  <c r="I10" i="1"/>
  <c r="E10" i="1"/>
  <c r="D10" i="1"/>
  <c r="B10" i="1"/>
  <c r="A10" i="1"/>
  <c r="Y9" i="1"/>
  <c r="W9" i="1"/>
  <c r="U9" i="1"/>
  <c r="S9" i="1"/>
  <c r="Q9" i="1"/>
  <c r="O9" i="1"/>
  <c r="M9" i="1"/>
  <c r="K9" i="1"/>
  <c r="J9" i="1"/>
  <c r="I9" i="1"/>
  <c r="C9" i="1"/>
  <c r="B9" i="1"/>
  <c r="Y8" i="1"/>
  <c r="W8" i="1"/>
  <c r="U8" i="1"/>
  <c r="S8" i="1"/>
  <c r="Q8" i="1"/>
  <c r="O8" i="1"/>
  <c r="M8" i="1"/>
  <c r="K8" i="1"/>
  <c r="J8" i="1"/>
  <c r="I8" i="1"/>
  <c r="C8" i="1"/>
  <c r="B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E7" i="1"/>
  <c r="D7" i="1"/>
  <c r="C7" i="1"/>
  <c r="B7" i="1"/>
  <c r="A7" i="1"/>
  <c r="Q6" i="1"/>
  <c r="O6" i="1"/>
  <c r="M6" i="1"/>
  <c r="K6" i="1"/>
  <c r="J6" i="1"/>
  <c r="I6" i="1"/>
  <c r="C6" i="1"/>
  <c r="B6" i="1"/>
  <c r="R5" i="1"/>
  <c r="Q5" i="1"/>
  <c r="P5" i="1"/>
  <c r="O5" i="1"/>
  <c r="N5" i="1"/>
  <c r="M5" i="1"/>
  <c r="L5" i="1"/>
  <c r="K5" i="1"/>
  <c r="J5" i="1"/>
  <c r="I5" i="1"/>
  <c r="E5" i="1"/>
  <c r="D5" i="1"/>
  <c r="C5" i="1"/>
  <c r="B5" i="1"/>
  <c r="A5" i="1"/>
  <c r="J4" i="1"/>
  <c r="I4" i="1"/>
  <c r="AC3" i="1"/>
  <c r="AB3" i="1"/>
  <c r="AA3" i="1"/>
  <c r="J3" i="1"/>
  <c r="I3" i="1"/>
  <c r="G3" i="1"/>
  <c r="F3" i="1"/>
  <c r="E3" i="1"/>
  <c r="D3" i="1"/>
  <c r="B3" i="1"/>
  <c r="A3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G2" i="1"/>
  <c r="F2" i="1"/>
  <c r="E2" i="1"/>
  <c r="D2" i="1"/>
  <c r="B2" i="1"/>
  <c r="A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0.0%"/>
  </numFmts>
  <fonts count="9">
    <font>
      <sz val="10"/>
      <color rgb="FF000000"/>
      <name val="Arial"/>
      <scheme val="minor"/>
    </font>
    <font>
      <b/>
      <sz val="12"/>
      <color rgb="FF000000"/>
      <name val="Microsoft JhengHei"/>
      <family val="2"/>
      <charset val="136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2"/>
      <color rgb="FF000000"/>
      <name val="&quot;Times New Roman&quot;"/>
    </font>
    <font>
      <sz val="9"/>
      <name val="Arial"/>
      <family val="3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76" fontId="5" fillId="7" borderId="4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176" fontId="5" fillId="9" borderId="4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178" fontId="1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1" fillId="4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3" fillId="5" borderId="0" xfId="0" applyFont="1" applyFill="1"/>
    <xf numFmtId="0" fontId="0" fillId="0" borderId="0" xfId="0"/>
    <xf numFmtId="0" fontId="1" fillId="6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5" fillId="7" borderId="6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77" fontId="5" fillId="7" borderId="5" xfId="0" applyNumberFormat="1" applyFont="1" applyFill="1" applyBorder="1" applyAlignment="1">
      <alignment horizontal="center" vertical="center" wrapText="1"/>
    </xf>
    <xf numFmtId="177" fontId="5" fillId="9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9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 vertical="center" wrapText="1"/>
    </xf>
    <xf numFmtId="10" fontId="5" fillId="8" borderId="5" xfId="0" applyNumberFormat="1" applyFont="1" applyFill="1" applyBorder="1" applyAlignment="1">
      <alignment horizontal="center" vertical="center" wrapText="1"/>
    </xf>
    <xf numFmtId="178" fontId="5" fillId="8" borderId="5" xfId="0" applyNumberFormat="1" applyFont="1" applyFill="1" applyBorder="1" applyAlignment="1">
      <alignment horizontal="center" vertical="center" wrapText="1"/>
    </xf>
    <xf numFmtId="9" fontId="5" fillId="7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85"/>
  <sheetViews>
    <sheetView tabSelected="1" zoomScale="60" zoomScaleNormal="60" workbookViewId="0">
      <selection sqref="A1:AC185"/>
    </sheetView>
  </sheetViews>
  <sheetFormatPr defaultColWidth="12.6640625" defaultRowHeight="15.75" customHeight="1"/>
  <cols>
    <col min="1" max="1" width="30" bestFit="1" customWidth="1"/>
    <col min="2" max="2" width="7.88671875" bestFit="1" customWidth="1"/>
    <col min="3" max="3" width="50.109375" bestFit="1" customWidth="1"/>
    <col min="4" max="4" width="4.77734375" bestFit="1" customWidth="1"/>
    <col min="5" max="5" width="6.21875" bestFit="1" customWidth="1"/>
    <col min="6" max="6" width="8.109375" bestFit="1" customWidth="1"/>
    <col min="7" max="7" width="10.21875" bestFit="1" customWidth="1"/>
    <col min="8" max="8" width="1.6640625" customWidth="1"/>
    <col min="9" max="9" width="50.109375" bestFit="1" customWidth="1"/>
    <col min="10" max="10" width="8.21875" bestFit="1" customWidth="1"/>
    <col min="11" max="11" width="7.109375" bestFit="1" customWidth="1"/>
    <col min="12" max="12" width="6" bestFit="1" customWidth="1"/>
    <col min="13" max="13" width="7.88671875" bestFit="1" customWidth="1"/>
    <col min="14" max="14" width="6" bestFit="1" customWidth="1"/>
    <col min="15" max="15" width="7.88671875" bestFit="1" customWidth="1"/>
    <col min="16" max="16" width="6" bestFit="1" customWidth="1"/>
    <col min="17" max="17" width="7.88671875" bestFit="1" customWidth="1"/>
    <col min="18" max="18" width="6" bestFit="1" customWidth="1"/>
    <col min="19" max="19" width="7.88671875" bestFit="1" customWidth="1"/>
    <col min="20" max="20" width="6" bestFit="1" customWidth="1"/>
    <col min="21" max="21" width="7.88671875" bestFit="1" customWidth="1"/>
    <col min="22" max="22" width="6" bestFit="1" customWidth="1"/>
    <col min="23" max="23" width="7.88671875" bestFit="1" customWidth="1"/>
    <col min="24" max="24" width="6" bestFit="1" customWidth="1"/>
    <col min="25" max="25" width="7.88671875" bestFit="1" customWidth="1"/>
    <col min="26" max="26" width="6" bestFit="1" customWidth="1"/>
    <col min="27" max="29" width="9.44140625" bestFit="1" customWidth="1"/>
    <col min="30" max="32" width="143.109375" customWidth="1"/>
  </cols>
  <sheetData>
    <row r="1" spans="1:32" ht="15.6">
      <c r="A1" s="19" t="str">
        <f ca="1">IFERROR(__xludf.DUMMYFUNCTION("IMPORTRANGE(""https://docs.google.com/spreadsheets/d/1g3k-_bsDSgGx-LrtXVu_8pmZey8G_3GZEmdJXJYtcxo/edit?gid=0#gid=0"",""'F1-a1-1'!A1:AC11"")"),"充電電壓設定不當 F1-a1-1(t)")</f>
        <v>充電電壓設定不當 F1-a1-1(t)</v>
      </c>
      <c r="B1" s="20"/>
      <c r="C1" s="20"/>
      <c r="D1" s="20"/>
      <c r="E1" s="20"/>
      <c r="F1" s="20"/>
      <c r="G1" s="20"/>
      <c r="H1" s="1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2"/>
      <c r="AA1" s="23"/>
      <c r="AB1" s="24"/>
      <c r="AC1" s="24"/>
      <c r="AD1" s="2"/>
      <c r="AE1" s="2"/>
      <c r="AF1" s="2"/>
    </row>
    <row r="2" spans="1:32" ht="46.8">
      <c r="A2" s="3" t="str">
        <f ca="1">IFERROR(__xludf.DUMMYFUNCTION("""COMPUTED_VALUE"""),"確保可靠度的手段")</f>
        <v>確保可靠度的手段</v>
      </c>
      <c r="B2" s="25" t="str">
        <f ca="1">IFERROR(__xludf.DUMMYFUNCTION("""COMPUTED_VALUE"""),"確證方式")</f>
        <v>確證方式</v>
      </c>
      <c r="C2" s="22"/>
      <c r="D2" s="3" t="str">
        <f ca="1">IFERROR(__xludf.DUMMYFUNCTION("""COMPUTED_VALUE"""),"得分")</f>
        <v>得分</v>
      </c>
      <c r="E2" s="3" t="str">
        <f ca="1">IFERROR(__xludf.DUMMYFUNCTION("""COMPUTED_VALUE"""),"權重")</f>
        <v>權重</v>
      </c>
      <c r="F2" s="3" t="str">
        <f ca="1">IFERROR(__xludf.DUMMYFUNCTION("""COMPUTED_VALUE"""),"可靠度概率")</f>
        <v>可靠度概率</v>
      </c>
      <c r="G2" s="3" t="str">
        <f ca="1">IFERROR(__xludf.DUMMYFUNCTION("""COMPUTED_VALUE"""),"F1-a1-1(t)")</f>
        <v>F1-a1-1(t)</v>
      </c>
      <c r="H2" s="4"/>
      <c r="I2" s="5" t="str">
        <f ca="1">IFERROR(__xludf.DUMMYFUNCTION("""COMPUTED_VALUE"""),"調查問項")</f>
        <v>調查問項</v>
      </c>
      <c r="J2" s="5" t="str">
        <f ca="1">IFERROR(__xludf.DUMMYFUNCTION("""COMPUTED_VALUE"""),"分項分數")</f>
        <v>分項分數</v>
      </c>
      <c r="K2" s="5" t="str">
        <f ca="1">IFERROR(__xludf.DUMMYFUNCTION("""COMPUTED_VALUE"""),"勾選組合")</f>
        <v>勾選組合</v>
      </c>
      <c r="L2" s="5" t="str">
        <f ca="1">IFERROR(__xludf.DUMMYFUNCTION("""COMPUTED_VALUE"""),"得分")</f>
        <v>得分</v>
      </c>
      <c r="M2" s="5" t="str">
        <f ca="1">IFERROR(__xludf.DUMMYFUNCTION("""COMPUTED_VALUE"""),"勾選組合")</f>
        <v>勾選組合</v>
      </c>
      <c r="N2" s="5" t="str">
        <f ca="1">IFERROR(__xludf.DUMMYFUNCTION("""COMPUTED_VALUE"""),"得分")</f>
        <v>得分</v>
      </c>
      <c r="O2" s="5" t="str">
        <f ca="1">IFERROR(__xludf.DUMMYFUNCTION("""COMPUTED_VALUE"""),"勾選組合")</f>
        <v>勾選組合</v>
      </c>
      <c r="P2" s="5" t="str">
        <f ca="1">IFERROR(__xludf.DUMMYFUNCTION("""COMPUTED_VALUE"""),"得分")</f>
        <v>得分</v>
      </c>
      <c r="Q2" s="5" t="str">
        <f ca="1">IFERROR(__xludf.DUMMYFUNCTION("""COMPUTED_VALUE"""),"勾選組合")</f>
        <v>勾選組合</v>
      </c>
      <c r="R2" s="5" t="str">
        <f ca="1">IFERROR(__xludf.DUMMYFUNCTION("""COMPUTED_VALUE"""),"得分")</f>
        <v>得分</v>
      </c>
      <c r="S2" s="5" t="str">
        <f ca="1">IFERROR(__xludf.DUMMYFUNCTION("""COMPUTED_VALUE"""),"勾選組合")</f>
        <v>勾選組合</v>
      </c>
      <c r="T2" s="5" t="str">
        <f ca="1">IFERROR(__xludf.DUMMYFUNCTION("""COMPUTED_VALUE"""),"得分")</f>
        <v>得分</v>
      </c>
      <c r="U2" s="5" t="str">
        <f ca="1">IFERROR(__xludf.DUMMYFUNCTION("""COMPUTED_VALUE"""),"勾選組合")</f>
        <v>勾選組合</v>
      </c>
      <c r="V2" s="5" t="str">
        <f ca="1">IFERROR(__xludf.DUMMYFUNCTION("""COMPUTED_VALUE"""),"得分")</f>
        <v>得分</v>
      </c>
      <c r="W2" s="5" t="str">
        <f ca="1">IFERROR(__xludf.DUMMYFUNCTION("""COMPUTED_VALUE"""),"勾選組合")</f>
        <v>勾選組合</v>
      </c>
      <c r="X2" s="5" t="str">
        <f ca="1">IFERROR(__xludf.DUMMYFUNCTION("""COMPUTED_VALUE"""),"得分")</f>
        <v>得分</v>
      </c>
      <c r="Y2" s="5" t="str">
        <f ca="1">IFERROR(__xludf.DUMMYFUNCTION("""COMPUTED_VALUE"""),"勾選組合")</f>
        <v>勾選組合</v>
      </c>
      <c r="Z2" s="5" t="str">
        <f ca="1">IFERROR(__xludf.DUMMYFUNCTION("""COMPUTED_VALUE"""),"得分")</f>
        <v>得分</v>
      </c>
      <c r="AA2" s="25" t="str">
        <f ca="1">IFERROR(__xludf.DUMMYFUNCTION("""COMPUTED_VALUE"""),"F1-a1-1(t)")</f>
        <v>F1-a1-1(t)</v>
      </c>
      <c r="AB2" s="20"/>
      <c r="AC2" s="22"/>
      <c r="AD2" s="2"/>
      <c r="AE2" s="2"/>
      <c r="AF2" s="2"/>
    </row>
    <row r="3" spans="1:32" ht="15.6">
      <c r="A3" s="26" t="str">
        <f ca="1">IFERROR(__xludf.DUMMYFUNCTION("""COMPUTED_VALUE"""),"符合規定的充電電壓設定")</f>
        <v>符合規定的充電電壓設定</v>
      </c>
      <c r="B3" s="28" t="str">
        <f ca="1">IFERROR(__xludf.DUMMYFUNCTION("""COMPUTED_VALUE"""),"經由第三方查核確認")</f>
        <v>經由第三方查核確認</v>
      </c>
      <c r="C3" s="29"/>
      <c r="D3" s="32">
        <f ca="1">IFERROR(__xludf.DUMMYFUNCTION("""COMPUTED_VALUE"""),8.5)</f>
        <v>8.5</v>
      </c>
      <c r="E3" s="39">
        <f ca="1">IFERROR(__xludf.DUMMYFUNCTION("""COMPUTED_VALUE"""),0.25)</f>
        <v>0.25</v>
      </c>
      <c r="F3" s="38">
        <f ca="1">IFERROR(__xludf.DUMMYFUNCTION("""COMPUTED_VALUE"""),0.880999999999999)</f>
        <v>0.88099999999999901</v>
      </c>
      <c r="G3" s="38">
        <f ca="1">IFERROR(__xludf.DUMMYFUNCTION("""COMPUTED_VALUE"""),0.119)</f>
        <v>0.11899999999999999</v>
      </c>
      <c r="H3" s="6"/>
      <c r="I3" s="7" t="str">
        <f ca="1">IFERROR(__xludf.DUMMYFUNCTION("""COMPUTED_VALUE"""),"經由第三方查核確認")</f>
        <v>經由第三方查核確認</v>
      </c>
      <c r="J3" s="8">
        <f ca="1">IFERROR(__xludf.DUMMYFUNCTION("""COMPUTED_VALUE"""),8.5)</f>
        <v>8.5</v>
      </c>
      <c r="K3" s="2"/>
      <c r="L3" s="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7">
        <f ca="1">IFERROR(__xludf.DUMMYFUNCTION("""COMPUTED_VALUE"""),0.11305)</f>
        <v>0.11305</v>
      </c>
      <c r="AB3" s="37">
        <f ca="1">IFERROR(__xludf.DUMMYFUNCTION("""COMPUTED_VALUE"""),0.119)</f>
        <v>0.11899999999999999</v>
      </c>
      <c r="AC3" s="37">
        <f ca="1">IFERROR(__xludf.DUMMYFUNCTION("""COMPUTED_VALUE"""),0.12495)</f>
        <v>0.12495000000000001</v>
      </c>
      <c r="AD3" s="2"/>
      <c r="AE3" s="2"/>
      <c r="AF3" s="2"/>
    </row>
    <row r="4" spans="1:32" ht="15.6">
      <c r="A4" s="27"/>
      <c r="B4" s="30"/>
      <c r="C4" s="31"/>
      <c r="D4" s="27"/>
      <c r="E4" s="27"/>
      <c r="F4" s="34"/>
      <c r="G4" s="34"/>
      <c r="H4" s="6"/>
      <c r="I4" s="7" t="str">
        <f ca="1">IFERROR(__xludf.DUMMYFUNCTION("""COMPUTED_VALUE"""),"未經由第三方查核確認")</f>
        <v>未經由第三方查核確認</v>
      </c>
      <c r="J4" s="8">
        <f ca="1">IFERROR(__xludf.DUMMYFUNCTION("""COMPUTED_VALUE"""),7.5)</f>
        <v>7.5</v>
      </c>
      <c r="K4" s="2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4"/>
      <c r="AB4" s="34"/>
      <c r="AC4" s="34"/>
      <c r="AD4" s="2"/>
      <c r="AE4" s="2"/>
      <c r="AF4" s="2"/>
    </row>
    <row r="5" spans="1:32" ht="31.2">
      <c r="A5" s="36" t="str">
        <f ca="1">IFERROR(__xludf.DUMMYFUNCTION("""COMPUTED_VALUE"""),"充電電壓受到遠端監控")</f>
        <v>充電電壓受到遠端監控</v>
      </c>
      <c r="B5" s="10" t="b">
        <f ca="1">IFERROR(__xludf.DUMMYFUNCTION("""COMPUTED_VALUE"""),TRUE)</f>
        <v>1</v>
      </c>
      <c r="C5" s="11" t="str">
        <f ca="1">IFERROR(__xludf.DUMMYFUNCTION("""COMPUTED_VALUE"""),"模組充電電壓受到遠端監控且設定值符合規範")</f>
        <v>模組充電電壓受到遠端監控且設定值符合規範</v>
      </c>
      <c r="D5" s="33">
        <f ca="1">IFERROR(__xludf.DUMMYFUNCTION("""COMPUTED_VALUE"""),8.9)</f>
        <v>8.9</v>
      </c>
      <c r="E5" s="35">
        <f ca="1">IFERROR(__xludf.DUMMYFUNCTION("""COMPUTED_VALUE"""),0.25)</f>
        <v>0.25</v>
      </c>
      <c r="F5" s="34"/>
      <c r="G5" s="34"/>
      <c r="H5" s="6"/>
      <c r="I5" s="11" t="str">
        <f ca="1">IFERROR(__xludf.DUMMYFUNCTION("""COMPUTED_VALUE"""),"模組充電電壓受到遠端監控，且設定值符合規範")</f>
        <v>模組充電電壓受到遠端監控，且設定值符合規範</v>
      </c>
      <c r="J5" s="12">
        <f ca="1">IFERROR(__xludf.DUMMYFUNCTION("""COMPUTED_VALUE"""),8.5)</f>
        <v>8.5</v>
      </c>
      <c r="K5" s="13" t="b">
        <f ca="1">IFERROR(__xludf.DUMMYFUNCTION("""COMPUTED_VALUE"""),TRUE)</f>
        <v>1</v>
      </c>
      <c r="L5" s="33">
        <f ca="1">IFERROR(__xludf.DUMMYFUNCTION("""COMPUTED_VALUE"""),8.9)</f>
        <v>8.9</v>
      </c>
      <c r="M5" s="13" t="b">
        <f ca="1">IFERROR(__xludf.DUMMYFUNCTION("""COMPUTED_VALUE"""),FALSE)</f>
        <v>0</v>
      </c>
      <c r="N5" s="33">
        <f ca="1">IFERROR(__xludf.DUMMYFUNCTION("""COMPUTED_VALUE"""),7.8)</f>
        <v>7.8</v>
      </c>
      <c r="O5" s="13" t="b">
        <f ca="1">IFERROR(__xludf.DUMMYFUNCTION("""COMPUTED_VALUE"""),TRUE)</f>
        <v>1</v>
      </c>
      <c r="P5" s="33">
        <f ca="1">IFERROR(__xludf.DUMMYFUNCTION("""COMPUTED_VALUE"""),8.5)</f>
        <v>8.5</v>
      </c>
      <c r="Q5" s="13" t="b">
        <f ca="1">IFERROR(__xludf.DUMMYFUNCTION("""COMPUTED_VALUE"""),FALSE)</f>
        <v>0</v>
      </c>
      <c r="R5" s="33">
        <f ca="1">IFERROR(__xludf.DUMMYFUNCTION("""COMPUTED_VALUE"""),8.5)</f>
        <v>8.5</v>
      </c>
      <c r="S5" s="2"/>
      <c r="T5" s="2"/>
      <c r="U5" s="2"/>
      <c r="V5" s="2"/>
      <c r="W5" s="2"/>
      <c r="X5" s="2"/>
      <c r="Y5" s="2"/>
      <c r="Z5" s="2"/>
      <c r="AA5" s="34"/>
      <c r="AB5" s="34"/>
      <c r="AC5" s="34"/>
      <c r="AD5" s="2"/>
      <c r="AE5" s="2"/>
      <c r="AF5" s="2"/>
    </row>
    <row r="6" spans="1:32" ht="31.2">
      <c r="A6" s="27"/>
      <c r="B6" s="10" t="b">
        <f ca="1">IFERROR(__xludf.DUMMYFUNCTION("""COMPUTED_VALUE"""),TRUE)</f>
        <v>1</v>
      </c>
      <c r="C6" s="11" t="str">
        <f ca="1">IFERROR(__xludf.DUMMYFUNCTION("""COMPUTED_VALUE"""),"機櫃充電電壓受到遠端監控且設定值符合規範")</f>
        <v>機櫃充電電壓受到遠端監控且設定值符合規範</v>
      </c>
      <c r="D6" s="27"/>
      <c r="E6" s="27"/>
      <c r="F6" s="34"/>
      <c r="G6" s="34"/>
      <c r="H6" s="6"/>
      <c r="I6" s="11" t="str">
        <f ca="1">IFERROR(__xludf.DUMMYFUNCTION("""COMPUTED_VALUE"""),"機櫃充電電壓受到遠端監控，且設定值符合規範")</f>
        <v>機櫃充電電壓受到遠端監控，且設定值符合規範</v>
      </c>
      <c r="J6" s="12">
        <f ca="1">IFERROR(__xludf.DUMMYFUNCTION("""COMPUTED_VALUE"""),8.5)</f>
        <v>8.5</v>
      </c>
      <c r="K6" s="14" t="b">
        <f ca="1">IFERROR(__xludf.DUMMYFUNCTION("""COMPUTED_VALUE"""),TRUE)</f>
        <v>1</v>
      </c>
      <c r="L6" s="27"/>
      <c r="M6" s="14" t="b">
        <f ca="1">IFERROR(__xludf.DUMMYFUNCTION("""COMPUTED_VALUE"""),FALSE)</f>
        <v>0</v>
      </c>
      <c r="N6" s="27"/>
      <c r="O6" s="14" t="b">
        <f ca="1">IFERROR(__xludf.DUMMYFUNCTION("""COMPUTED_VALUE"""),FALSE)</f>
        <v>0</v>
      </c>
      <c r="P6" s="27"/>
      <c r="Q6" s="14" t="b">
        <f ca="1">IFERROR(__xludf.DUMMYFUNCTION("""COMPUTED_VALUE"""),TRUE)</f>
        <v>1</v>
      </c>
      <c r="R6" s="27"/>
      <c r="S6" s="2"/>
      <c r="T6" s="2"/>
      <c r="U6" s="2"/>
      <c r="V6" s="2"/>
      <c r="W6" s="2"/>
      <c r="X6" s="2"/>
      <c r="Y6" s="2"/>
      <c r="Z6" s="2"/>
      <c r="AA6" s="34"/>
      <c r="AB6" s="34"/>
      <c r="AC6" s="34"/>
      <c r="AD6" s="2"/>
      <c r="AE6" s="2"/>
      <c r="AF6" s="2"/>
    </row>
    <row r="7" spans="1:32" ht="32.25" customHeight="1">
      <c r="A7" s="36" t="str">
        <f ca="1">IFERROR(__xludf.DUMMYFUNCTION("""COMPUTED_VALUE"""),"充電電壓異常發出警告訊號")</f>
        <v>充電電壓異常發出警告訊號</v>
      </c>
      <c r="B7" s="10" t="b">
        <f ca="1">IFERROR(__xludf.DUMMYFUNCTION("""COMPUTED_VALUE"""),FALSE)</f>
        <v>0</v>
      </c>
      <c r="C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7" s="33">
        <f ca="1">IFERROR(__xludf.DUMMYFUNCTION("""COMPUTED_VALUE"""),9)</f>
        <v>9</v>
      </c>
      <c r="E7" s="35">
        <f ca="1">IFERROR(__xludf.DUMMYFUNCTION("""COMPUTED_VALUE"""),0.4)</f>
        <v>0.4</v>
      </c>
      <c r="F7" s="34"/>
      <c r="G7" s="34"/>
      <c r="H7" s="6"/>
      <c r="I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7" s="12">
        <f ca="1">IFERROR(__xludf.DUMMYFUNCTION("""COMPUTED_VALUE"""),8.8)</f>
        <v>8.8000000000000007</v>
      </c>
      <c r="K7" s="13" t="b">
        <f ca="1">IFERROR(__xludf.DUMMYFUNCTION("""COMPUTED_VALUE"""),TRUE)</f>
        <v>1</v>
      </c>
      <c r="L7" s="33">
        <f ca="1">IFERROR(__xludf.DUMMYFUNCTION("""COMPUTED_VALUE"""),9.2)</f>
        <v>9.1999999999999993</v>
      </c>
      <c r="M7" s="13" t="b">
        <f ca="1">IFERROR(__xludf.DUMMYFUNCTION("""COMPUTED_VALUE"""),FALSE)</f>
        <v>0</v>
      </c>
      <c r="N7" s="33">
        <f ca="1">IFERROR(__xludf.DUMMYFUNCTION("""COMPUTED_VALUE"""),7.8)</f>
        <v>7.8</v>
      </c>
      <c r="O7" s="13" t="b">
        <f ca="1">IFERROR(__xludf.DUMMYFUNCTION("""COMPUTED_VALUE"""),TRUE)</f>
        <v>1</v>
      </c>
      <c r="P7" s="33">
        <f ca="1">IFERROR(__xludf.DUMMYFUNCTION("""COMPUTED_VALUE"""),9)</f>
        <v>9</v>
      </c>
      <c r="Q7" s="13" t="b">
        <f ca="1">IFERROR(__xludf.DUMMYFUNCTION("""COMPUTED_VALUE"""),FALSE)</f>
        <v>0</v>
      </c>
      <c r="R7" s="33">
        <f ca="1">IFERROR(__xludf.DUMMYFUNCTION("""COMPUTED_VALUE"""),9)</f>
        <v>9</v>
      </c>
      <c r="S7" s="13" t="b">
        <f ca="1">IFERROR(__xludf.DUMMYFUNCTION("""COMPUTED_VALUE"""),TRUE)</f>
        <v>1</v>
      </c>
      <c r="T7" s="33">
        <f ca="1">IFERROR(__xludf.DUMMYFUNCTION("""COMPUTED_VALUE"""),9)</f>
        <v>9</v>
      </c>
      <c r="U7" s="13" t="b">
        <f ca="1">IFERROR(__xludf.DUMMYFUNCTION("""COMPUTED_VALUE"""),TRUE)</f>
        <v>1</v>
      </c>
      <c r="V7" s="33">
        <f ca="1">IFERROR(__xludf.DUMMYFUNCTION("""COMPUTED_VALUE"""),8.8)</f>
        <v>8.8000000000000007</v>
      </c>
      <c r="W7" s="13" t="b">
        <f ca="1">IFERROR(__xludf.DUMMYFUNCTION("""COMPUTED_VALUE"""),FALSE)</f>
        <v>0</v>
      </c>
      <c r="X7" s="33">
        <f ca="1">IFERROR(__xludf.DUMMYFUNCTION("""COMPUTED_VALUE"""),8.5)</f>
        <v>8.5</v>
      </c>
      <c r="Y7" s="13" t="b">
        <f ca="1">IFERROR(__xludf.DUMMYFUNCTION("""COMPUTED_VALUE"""),FALSE)</f>
        <v>0</v>
      </c>
      <c r="Z7" s="33">
        <f ca="1">IFERROR(__xludf.DUMMYFUNCTION("""COMPUTED_VALUE"""),8.5)</f>
        <v>8.5</v>
      </c>
      <c r="AA7" s="34"/>
      <c r="AB7" s="34"/>
      <c r="AC7" s="34"/>
      <c r="AD7" s="2"/>
      <c r="AE7" s="2"/>
      <c r="AF7" s="2"/>
    </row>
    <row r="8" spans="1:32" ht="32.25" customHeight="1">
      <c r="A8" s="34"/>
      <c r="B8" s="10" t="b">
        <f ca="1">IFERROR(__xludf.DUMMYFUNCTION("""COMPUTED_VALUE"""),TRUE)</f>
        <v>1</v>
      </c>
      <c r="C8" s="11" t="str">
        <f ca="1">IFERROR(__xludf.DUMMYFUNCTION("""COMPUTED_VALUE"""),"BMS通過Test Report - IEC 60730-1 - Annex H測試")</f>
        <v>BMS通過Test Report - IEC 60730-1 - Annex H測試</v>
      </c>
      <c r="D8" s="34"/>
      <c r="E8" s="34"/>
      <c r="F8" s="34"/>
      <c r="G8" s="34"/>
      <c r="H8" s="6"/>
      <c r="I8" s="11" t="str">
        <f ca="1">IFERROR(__xludf.DUMMYFUNCTION("""COMPUTED_VALUE"""),"BMS通過Test Report - IEC 60730-1 - Annex H測試")</f>
        <v>BMS通過Test Report - IEC 60730-1 - Annex H測試</v>
      </c>
      <c r="J8" s="12">
        <f ca="1">IFERROR(__xludf.DUMMYFUNCTION("""COMPUTED_VALUE"""),8.5)</f>
        <v>8.5</v>
      </c>
      <c r="K8" s="14" t="b">
        <f ca="1">IFERROR(__xludf.DUMMYFUNCTION("""COMPUTED_VALUE"""),TRUE)</f>
        <v>1</v>
      </c>
      <c r="L8" s="34"/>
      <c r="M8" s="14" t="b">
        <f ca="1">IFERROR(__xludf.DUMMYFUNCTION("""COMPUTED_VALUE"""),FALSE)</f>
        <v>0</v>
      </c>
      <c r="N8" s="34"/>
      <c r="O8" s="14" t="b">
        <f ca="1">IFERROR(__xludf.DUMMYFUNCTION("""COMPUTED_VALUE"""),TRUE)</f>
        <v>1</v>
      </c>
      <c r="P8" s="34"/>
      <c r="Q8" s="14" t="b">
        <f ca="1">IFERROR(__xludf.DUMMYFUNCTION("""COMPUTED_VALUE"""),TRUE)</f>
        <v>1</v>
      </c>
      <c r="R8" s="34"/>
      <c r="S8" s="14" t="b">
        <f ca="1">IFERROR(__xludf.DUMMYFUNCTION("""COMPUTED_VALUE"""),FALSE)</f>
        <v>0</v>
      </c>
      <c r="T8" s="34"/>
      <c r="U8" s="14" t="b">
        <f ca="1">IFERROR(__xludf.DUMMYFUNCTION("""COMPUTED_VALUE"""),FALSE)</f>
        <v>0</v>
      </c>
      <c r="V8" s="34"/>
      <c r="W8" s="14" t="b">
        <f ca="1">IFERROR(__xludf.DUMMYFUNCTION("""COMPUTED_VALUE"""),TRUE)</f>
        <v>1</v>
      </c>
      <c r="X8" s="34"/>
      <c r="Y8" s="14" t="b">
        <f ca="1">IFERROR(__xludf.DUMMYFUNCTION("""COMPUTED_VALUE"""),FALSE)</f>
        <v>0</v>
      </c>
      <c r="Z8" s="34"/>
      <c r="AA8" s="34"/>
      <c r="AB8" s="34"/>
      <c r="AC8" s="34"/>
      <c r="AD8" s="2"/>
      <c r="AE8" s="2"/>
      <c r="AF8" s="2"/>
    </row>
    <row r="9" spans="1:32" ht="32.25" customHeight="1">
      <c r="A9" s="27"/>
      <c r="B9" s="10" t="b">
        <f ca="1">IFERROR(__xludf.DUMMYFUNCTION("""COMPUTED_VALUE"""),TRUE)</f>
        <v>1</v>
      </c>
      <c r="C9" s="11" t="str">
        <f ca="1">IFERROR(__xludf.DUMMYFUNCTION("""COMPUTED_VALUE"""),"異常訊號可同時通知現場及遠端管理人員")</f>
        <v>異常訊號可同時通知現場及遠端管理人員</v>
      </c>
      <c r="D9" s="27"/>
      <c r="E9" s="27"/>
      <c r="F9" s="34"/>
      <c r="G9" s="34"/>
      <c r="H9" s="6"/>
      <c r="I9" s="11" t="str">
        <f ca="1">IFERROR(__xludf.DUMMYFUNCTION("""COMPUTED_VALUE"""),"異常訊號可同時通知現場及遠端管理人員")</f>
        <v>異常訊號可同時通知現場及遠端管理人員</v>
      </c>
      <c r="J9" s="12">
        <f ca="1">IFERROR(__xludf.DUMMYFUNCTION("""COMPUTED_VALUE"""),8.5)</f>
        <v>8.5</v>
      </c>
      <c r="K9" s="13" t="b">
        <f ca="1">IFERROR(__xludf.DUMMYFUNCTION("""COMPUTED_VALUE"""),TRUE)</f>
        <v>1</v>
      </c>
      <c r="L9" s="27"/>
      <c r="M9" s="13" t="b">
        <f ca="1">IFERROR(__xludf.DUMMYFUNCTION("""COMPUTED_VALUE"""),FALSE)</f>
        <v>0</v>
      </c>
      <c r="N9" s="27"/>
      <c r="O9" s="13" t="b">
        <f ca="1">IFERROR(__xludf.DUMMYFUNCTION("""COMPUTED_VALUE"""),FALSE)</f>
        <v>0</v>
      </c>
      <c r="P9" s="27"/>
      <c r="Q9" s="13" t="b">
        <f ca="1">IFERROR(__xludf.DUMMYFUNCTION("""COMPUTED_VALUE"""),TRUE)</f>
        <v>1</v>
      </c>
      <c r="R9" s="27"/>
      <c r="S9" s="13" t="b">
        <f ca="1">IFERROR(__xludf.DUMMYFUNCTION("""COMPUTED_VALUE"""),TRUE)</f>
        <v>1</v>
      </c>
      <c r="T9" s="27"/>
      <c r="U9" s="13" t="b">
        <f ca="1">IFERROR(__xludf.DUMMYFUNCTION("""COMPUTED_VALUE"""),FALSE)</f>
        <v>0</v>
      </c>
      <c r="V9" s="27"/>
      <c r="W9" s="13" t="b">
        <f ca="1">IFERROR(__xludf.DUMMYFUNCTION("""COMPUTED_VALUE"""),FALSE)</f>
        <v>0</v>
      </c>
      <c r="X9" s="27"/>
      <c r="Y9" s="13" t="b">
        <f ca="1">IFERROR(__xludf.DUMMYFUNCTION("""COMPUTED_VALUE"""),TRUE)</f>
        <v>1</v>
      </c>
      <c r="Z9" s="27"/>
      <c r="AA9" s="34"/>
      <c r="AB9" s="34"/>
      <c r="AC9" s="34"/>
      <c r="AD9" s="2"/>
      <c r="AE9" s="2"/>
      <c r="AF9" s="2"/>
    </row>
    <row r="10" spans="1:32" ht="15.6">
      <c r="A10" s="26" t="str">
        <f ca="1">IFERROR(__xludf.DUMMYFUNCTION("""COMPUTED_VALUE"""),"充電電壓的歷史紀錄")</f>
        <v>充電電壓的歷史紀錄</v>
      </c>
      <c r="B10" s="28" t="str">
        <f ca="1">IFERROR(__xludf.DUMMYFUNCTION("""COMPUTED_VALUE"""),"歷史紀錄保存完整")</f>
        <v>歷史紀錄保存完整</v>
      </c>
      <c r="C10" s="29"/>
      <c r="D10" s="32">
        <f ca="1">IFERROR(__xludf.DUMMYFUNCTION("""COMPUTED_VALUE"""),8.6)</f>
        <v>8.6</v>
      </c>
      <c r="E10" s="39">
        <f ca="1">IFERROR(__xludf.DUMMYFUNCTION("""COMPUTED_VALUE"""),0.1)</f>
        <v>0.1</v>
      </c>
      <c r="F10" s="34"/>
      <c r="G10" s="34"/>
      <c r="H10" s="6"/>
      <c r="I10" s="7" t="str">
        <f ca="1">IFERROR(__xludf.DUMMYFUNCTION("""COMPUTED_VALUE"""),"歷史紀錄保存完整")</f>
        <v>歷史紀錄保存完整</v>
      </c>
      <c r="J10" s="8">
        <f ca="1">IFERROR(__xludf.DUMMYFUNCTION("""COMPUTED_VALUE"""),8.6)</f>
        <v>8.6</v>
      </c>
      <c r="K10" s="2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4"/>
      <c r="AB10" s="34"/>
      <c r="AC10" s="34"/>
      <c r="AD10" s="2"/>
      <c r="AE10" s="2"/>
      <c r="AF10" s="2"/>
    </row>
    <row r="11" spans="1:32" ht="15.6">
      <c r="A11" s="27"/>
      <c r="B11" s="30"/>
      <c r="C11" s="31"/>
      <c r="D11" s="27"/>
      <c r="E11" s="27"/>
      <c r="F11" s="27"/>
      <c r="G11" s="27"/>
      <c r="H11" s="6"/>
      <c r="I11" s="7" t="str">
        <f ca="1">IFERROR(__xludf.DUMMYFUNCTION("""COMPUTED_VALUE"""),"歷史紀錄未保存完整")</f>
        <v>歷史紀錄未保存完整</v>
      </c>
      <c r="J11" s="8">
        <f ca="1">IFERROR(__xludf.DUMMYFUNCTION("""COMPUTED_VALUE"""),7.8)</f>
        <v>7.8</v>
      </c>
      <c r="K11" s="2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7"/>
      <c r="AB11" s="27"/>
      <c r="AC11" s="27"/>
      <c r="AD11" s="2"/>
      <c r="AE11" s="2"/>
      <c r="AF11" s="2"/>
    </row>
    <row r="12" spans="1:32" ht="15.6">
      <c r="A12" s="19" t="str">
        <f ca="1">IFERROR(__xludf.DUMMYFUNCTION("IMPORTRANGE(""https://docs.google.com/spreadsheets/d/1g3k-_bsDSgGx-LrtXVu_8pmZey8G_3GZEmdJXJYtcxo/edit?gid=256258938#gid=256258938"",""'F1-a1-2'!A1:AC10"")"),"充電電壓控制器故障 F1-a1-2(t)")</f>
        <v>充電電壓控制器故障 F1-a1-2(t)</v>
      </c>
      <c r="B12" s="20"/>
      <c r="C12" s="20"/>
      <c r="D12" s="20"/>
      <c r="E12" s="20"/>
      <c r="F12" s="20"/>
      <c r="G12" s="20"/>
      <c r="H12" s="1"/>
      <c r="I12" s="2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2"/>
      <c r="AA12" s="23"/>
      <c r="AB12" s="24"/>
      <c r="AC12" s="24"/>
      <c r="AD12" s="2"/>
      <c r="AE12" s="2"/>
      <c r="AF12" s="2"/>
    </row>
    <row r="13" spans="1:32" ht="46.8">
      <c r="A13" s="3" t="str">
        <f ca="1">IFERROR(__xludf.DUMMYFUNCTION("""COMPUTED_VALUE"""),"確保可靠度的手段")</f>
        <v>確保可靠度的手段</v>
      </c>
      <c r="B13" s="25" t="str">
        <f ca="1">IFERROR(__xludf.DUMMYFUNCTION("""COMPUTED_VALUE"""),"確證方式")</f>
        <v>確證方式</v>
      </c>
      <c r="C13" s="22"/>
      <c r="D13" s="3" t="str">
        <f ca="1">IFERROR(__xludf.DUMMYFUNCTION("""COMPUTED_VALUE"""),"得分")</f>
        <v>得分</v>
      </c>
      <c r="E13" s="3" t="str">
        <f ca="1">IFERROR(__xludf.DUMMYFUNCTION("""COMPUTED_VALUE"""),"權重")</f>
        <v>權重</v>
      </c>
      <c r="F13" s="3" t="str">
        <f ca="1">IFERROR(__xludf.DUMMYFUNCTION("""COMPUTED_VALUE"""),"可靠度
 概率")</f>
        <v>可靠度
 概率</v>
      </c>
      <c r="G13" s="3" t="str">
        <f ca="1">IFERROR(__xludf.DUMMYFUNCTION("""COMPUTED_VALUE"""),"F1-a1-2(t)")</f>
        <v>F1-a1-2(t)</v>
      </c>
      <c r="H13" s="4"/>
      <c r="I13" s="5" t="str">
        <f ca="1">IFERROR(__xludf.DUMMYFUNCTION("""COMPUTED_VALUE"""),"調查問項")</f>
        <v>調查問項</v>
      </c>
      <c r="J13" s="5" t="str">
        <f ca="1">IFERROR(__xludf.DUMMYFUNCTION("""COMPUTED_VALUE"""),"分項分數")</f>
        <v>分項分數</v>
      </c>
      <c r="K13" s="5" t="str">
        <f ca="1">IFERROR(__xludf.DUMMYFUNCTION("""COMPUTED_VALUE"""),"勾選組合")</f>
        <v>勾選組合</v>
      </c>
      <c r="L13" s="5" t="str">
        <f ca="1">IFERROR(__xludf.DUMMYFUNCTION("""COMPUTED_VALUE"""),"得分")</f>
        <v>得分</v>
      </c>
      <c r="M13" s="5" t="str">
        <f ca="1">IFERROR(__xludf.DUMMYFUNCTION("""COMPUTED_VALUE"""),"勾選組合")</f>
        <v>勾選組合</v>
      </c>
      <c r="N13" s="5" t="str">
        <f ca="1">IFERROR(__xludf.DUMMYFUNCTION("""COMPUTED_VALUE"""),"得分")</f>
        <v>得分</v>
      </c>
      <c r="O13" s="5" t="str">
        <f ca="1">IFERROR(__xludf.DUMMYFUNCTION("""COMPUTED_VALUE"""),"勾選組合")</f>
        <v>勾選組合</v>
      </c>
      <c r="P13" s="5" t="str">
        <f ca="1">IFERROR(__xludf.DUMMYFUNCTION("""COMPUTED_VALUE"""),"得分")</f>
        <v>得分</v>
      </c>
      <c r="Q13" s="5" t="str">
        <f ca="1">IFERROR(__xludf.DUMMYFUNCTION("""COMPUTED_VALUE"""),"勾選組合")</f>
        <v>勾選組合</v>
      </c>
      <c r="R13" s="5" t="str">
        <f ca="1">IFERROR(__xludf.DUMMYFUNCTION("""COMPUTED_VALUE"""),"得分")</f>
        <v>得分</v>
      </c>
      <c r="S13" s="5" t="str">
        <f ca="1">IFERROR(__xludf.DUMMYFUNCTION("""COMPUTED_VALUE"""),"勾選組合")</f>
        <v>勾選組合</v>
      </c>
      <c r="T13" s="5" t="str">
        <f ca="1">IFERROR(__xludf.DUMMYFUNCTION("""COMPUTED_VALUE"""),"得分")</f>
        <v>得分</v>
      </c>
      <c r="U13" s="5" t="str">
        <f ca="1">IFERROR(__xludf.DUMMYFUNCTION("""COMPUTED_VALUE"""),"勾選組合")</f>
        <v>勾選組合</v>
      </c>
      <c r="V13" s="5" t="str">
        <f ca="1">IFERROR(__xludf.DUMMYFUNCTION("""COMPUTED_VALUE"""),"得分")</f>
        <v>得分</v>
      </c>
      <c r="W13" s="5" t="str">
        <f ca="1">IFERROR(__xludf.DUMMYFUNCTION("""COMPUTED_VALUE"""),"勾選組合")</f>
        <v>勾選組合</v>
      </c>
      <c r="X13" s="5" t="str">
        <f ca="1">IFERROR(__xludf.DUMMYFUNCTION("""COMPUTED_VALUE"""),"得分")</f>
        <v>得分</v>
      </c>
      <c r="Y13" s="5" t="str">
        <f ca="1">IFERROR(__xludf.DUMMYFUNCTION("""COMPUTED_VALUE"""),"勾選組合")</f>
        <v>勾選組合</v>
      </c>
      <c r="Z13" s="5" t="str">
        <f ca="1">IFERROR(__xludf.DUMMYFUNCTION("""COMPUTED_VALUE"""),"得分")</f>
        <v>得分</v>
      </c>
      <c r="AA13" s="25" t="str">
        <f ca="1">IFERROR(__xludf.DUMMYFUNCTION("""COMPUTED_VALUE"""),"F1-a1-2(t)")</f>
        <v>F1-a1-2(t)</v>
      </c>
      <c r="AB13" s="20"/>
      <c r="AC13" s="22"/>
      <c r="AD13" s="2"/>
      <c r="AE13" s="2"/>
      <c r="AF13" s="2"/>
    </row>
    <row r="14" spans="1:32" ht="15.6">
      <c r="A14" s="36" t="str">
        <f ca="1">IFERROR(__xludf.DUMMYFUNCTION("""COMPUTED_VALUE"""),"充電電壓控制器通過認證")</f>
        <v>充電電壓控制器通過認證</v>
      </c>
      <c r="B14" s="10" t="b">
        <f ca="1">IFERROR(__xludf.DUMMYFUNCTION("""COMPUTED_VALUE"""),TRUE)</f>
        <v>1</v>
      </c>
      <c r="C14" s="11" t="str">
        <f ca="1">IFERROR(__xludf.DUMMYFUNCTION("""COMPUTED_VALUE"""),"取得 UL 1973 認證證書")</f>
        <v>取得 UL 1973 認證證書</v>
      </c>
      <c r="D14" s="33">
        <f ca="1">IFERROR(__xludf.DUMMYFUNCTION("""COMPUTED_VALUE"""),9.2)</f>
        <v>9.1999999999999993</v>
      </c>
      <c r="E14" s="35">
        <f ca="1">IFERROR(__xludf.DUMMYFUNCTION("""COMPUTED_VALUE"""),0.4)</f>
        <v>0.4</v>
      </c>
      <c r="F14" s="38">
        <f ca="1">IFERROR(__xludf.DUMMYFUNCTION("""COMPUTED_VALUE"""),0.871999999999999)</f>
        <v>0.871999999999999</v>
      </c>
      <c r="G14" s="38">
        <f ca="1">IFERROR(__xludf.DUMMYFUNCTION("""COMPUTED_VALUE"""),0.128)</f>
        <v>0.128</v>
      </c>
      <c r="H14" s="6"/>
      <c r="I14" s="11" t="str">
        <f ca="1">IFERROR(__xludf.DUMMYFUNCTION("""COMPUTED_VALUE"""),"取得 UL 1973 認證證書")</f>
        <v>取得 UL 1973 認證證書</v>
      </c>
      <c r="J14" s="12">
        <f ca="1">IFERROR(__xludf.DUMMYFUNCTION("""COMPUTED_VALUE"""),8.6)</f>
        <v>8.6</v>
      </c>
      <c r="K14" s="13" t="b">
        <f ca="1">IFERROR(__xludf.DUMMYFUNCTION("""COMPUTED_VALUE"""),TRUE)</f>
        <v>1</v>
      </c>
      <c r="L14" s="33">
        <f ca="1">IFERROR(__xludf.DUMMYFUNCTION("""COMPUTED_VALUE"""),9.2)</f>
        <v>9.1999999999999993</v>
      </c>
      <c r="M14" s="13" t="b">
        <f ca="1">IFERROR(__xludf.DUMMYFUNCTION("""COMPUTED_VALUE"""),FALSE)</f>
        <v>0</v>
      </c>
      <c r="N14" s="33">
        <f ca="1">IFERROR(__xludf.DUMMYFUNCTION("""COMPUTED_VALUE"""),7.8)</f>
        <v>7.8</v>
      </c>
      <c r="O14" s="13" t="b">
        <f ca="1">IFERROR(__xludf.DUMMYFUNCTION("""COMPUTED_VALUE"""),TRUE)</f>
        <v>1</v>
      </c>
      <c r="P14" s="33">
        <f ca="1">IFERROR(__xludf.DUMMYFUNCTION("""COMPUTED_VALUE"""),9)</f>
        <v>9</v>
      </c>
      <c r="Q14" s="13" t="b">
        <f ca="1">IFERROR(__xludf.DUMMYFUNCTION("""COMPUTED_VALUE"""),FALSE)</f>
        <v>0</v>
      </c>
      <c r="R14" s="33">
        <f ca="1">IFERROR(__xludf.DUMMYFUNCTION("""COMPUTED_VALUE"""),9)</f>
        <v>9</v>
      </c>
      <c r="S14" s="13" t="b">
        <f ca="1">IFERROR(__xludf.DUMMYFUNCTION("""COMPUTED_VALUE"""),TRUE)</f>
        <v>1</v>
      </c>
      <c r="T14" s="33">
        <f ca="1">IFERROR(__xludf.DUMMYFUNCTION("""COMPUTED_VALUE"""),9)</f>
        <v>9</v>
      </c>
      <c r="U14" s="13" t="b">
        <f ca="1">IFERROR(__xludf.DUMMYFUNCTION("""COMPUTED_VALUE"""),TRUE)</f>
        <v>1</v>
      </c>
      <c r="V14" s="33">
        <f ca="1">IFERROR(__xludf.DUMMYFUNCTION("""COMPUTED_VALUE"""),8.6)</f>
        <v>8.6</v>
      </c>
      <c r="W14" s="13" t="b">
        <f ca="1">IFERROR(__xludf.DUMMYFUNCTION("""COMPUTED_VALUE"""),FALSE)</f>
        <v>0</v>
      </c>
      <c r="X14" s="33">
        <f ca="1">IFERROR(__xludf.DUMMYFUNCTION("""COMPUTED_VALUE"""),8.6)</f>
        <v>8.6</v>
      </c>
      <c r="Y14" s="13" t="b">
        <f ca="1">IFERROR(__xludf.DUMMYFUNCTION("""COMPUTED_VALUE"""),FALSE)</f>
        <v>0</v>
      </c>
      <c r="Z14" s="33">
        <f ca="1">IFERROR(__xludf.DUMMYFUNCTION("""COMPUTED_VALUE"""),8.5)</f>
        <v>8.5</v>
      </c>
      <c r="AA14" s="37">
        <f ca="1">IFERROR(__xludf.DUMMYFUNCTION("""COMPUTED_VALUE"""),0.1216)</f>
        <v>0.1216</v>
      </c>
      <c r="AB14" s="37">
        <f ca="1">IFERROR(__xludf.DUMMYFUNCTION("""COMPUTED_VALUE"""),0.128)</f>
        <v>0.128</v>
      </c>
      <c r="AC14" s="37">
        <f ca="1">IFERROR(__xludf.DUMMYFUNCTION("""COMPUTED_VALUE"""),0.1344)</f>
        <v>0.13439999999999999</v>
      </c>
      <c r="AD14" s="2"/>
      <c r="AE14" s="2"/>
      <c r="AF14" s="2"/>
    </row>
    <row r="15" spans="1:32" ht="15.6">
      <c r="A15" s="34"/>
      <c r="B15" s="10" t="b">
        <f ca="1">IFERROR(__xludf.DUMMYFUNCTION("""COMPUTED_VALUE"""),TRUE)</f>
        <v>1</v>
      </c>
      <c r="C15" s="11" t="str">
        <f ca="1">IFERROR(__xludf.DUMMYFUNCTION("""COMPUTED_VALUE"""),"取得 CNS 62619 認證證書")</f>
        <v>取得 CNS 62619 認證證書</v>
      </c>
      <c r="D15" s="34"/>
      <c r="E15" s="34"/>
      <c r="F15" s="34"/>
      <c r="G15" s="34"/>
      <c r="H15" s="6"/>
      <c r="I15" s="11" t="str">
        <f ca="1">IFERROR(__xludf.DUMMYFUNCTION("""COMPUTED_VALUE"""),"取得 CNS 62619 認證證書")</f>
        <v>取得 CNS 62619 認證證書</v>
      </c>
      <c r="J15" s="12">
        <f ca="1">IFERROR(__xludf.DUMMYFUNCTION("""COMPUTED_VALUE"""),8.6)</f>
        <v>8.6</v>
      </c>
      <c r="K15" s="14" t="b">
        <f ca="1">IFERROR(__xludf.DUMMYFUNCTION("""COMPUTED_VALUE"""),TRUE)</f>
        <v>1</v>
      </c>
      <c r="L15" s="34"/>
      <c r="M15" s="14" t="b">
        <f ca="1">IFERROR(__xludf.DUMMYFUNCTION("""COMPUTED_VALUE"""),FALSE)</f>
        <v>0</v>
      </c>
      <c r="N15" s="34"/>
      <c r="O15" s="14" t="b">
        <f ca="1">IFERROR(__xludf.DUMMYFUNCTION("""COMPUTED_VALUE"""),TRUE)</f>
        <v>1</v>
      </c>
      <c r="P15" s="34"/>
      <c r="Q15" s="14" t="b">
        <f ca="1">IFERROR(__xludf.DUMMYFUNCTION("""COMPUTED_VALUE"""),TRUE)</f>
        <v>1</v>
      </c>
      <c r="R15" s="34"/>
      <c r="S15" s="14" t="b">
        <f ca="1">IFERROR(__xludf.DUMMYFUNCTION("""COMPUTED_VALUE"""),FALSE)</f>
        <v>0</v>
      </c>
      <c r="T15" s="34"/>
      <c r="U15" s="14" t="b">
        <f ca="1">IFERROR(__xludf.DUMMYFUNCTION("""COMPUTED_VALUE"""),FALSE)</f>
        <v>0</v>
      </c>
      <c r="V15" s="34"/>
      <c r="W15" s="14" t="b">
        <f ca="1">IFERROR(__xludf.DUMMYFUNCTION("""COMPUTED_VALUE"""),TRUE)</f>
        <v>1</v>
      </c>
      <c r="X15" s="34"/>
      <c r="Y15" s="14" t="b">
        <f ca="1">IFERROR(__xludf.DUMMYFUNCTION("""COMPUTED_VALUE"""),FALSE)</f>
        <v>0</v>
      </c>
      <c r="Z15" s="34"/>
      <c r="AA15" s="34"/>
      <c r="AB15" s="34"/>
      <c r="AC15" s="34"/>
      <c r="AD15" s="2"/>
      <c r="AE15" s="2"/>
      <c r="AF15" s="2"/>
    </row>
    <row r="16" spans="1:32" ht="15.6">
      <c r="A16" s="27"/>
      <c r="B16" s="10" t="b">
        <f ca="1">IFERROR(__xludf.DUMMYFUNCTION("""COMPUTED_VALUE"""),TRUE)</f>
        <v>1</v>
      </c>
      <c r="C16" s="11" t="str">
        <f ca="1">IFERROR(__xludf.DUMMYFUNCTION("""COMPUTED_VALUE"""),"符合 IEC 60730 之測試報告")</f>
        <v>符合 IEC 60730 之測試報告</v>
      </c>
      <c r="D16" s="27"/>
      <c r="E16" s="27"/>
      <c r="F16" s="34"/>
      <c r="G16" s="34"/>
      <c r="H16" s="6"/>
      <c r="I16" s="11" t="str">
        <f ca="1">IFERROR(__xludf.DUMMYFUNCTION("""COMPUTED_VALUE"""),"符合 IEC 60730 之測試報告")</f>
        <v>符合 IEC 60730 之測試報告</v>
      </c>
      <c r="J16" s="12">
        <f ca="1">IFERROR(__xludf.DUMMYFUNCTION("""COMPUTED_VALUE"""),8.5)</f>
        <v>8.5</v>
      </c>
      <c r="K16" s="13" t="b">
        <f ca="1">IFERROR(__xludf.DUMMYFUNCTION("""COMPUTED_VALUE"""),TRUE)</f>
        <v>1</v>
      </c>
      <c r="L16" s="27"/>
      <c r="M16" s="13" t="b">
        <f ca="1">IFERROR(__xludf.DUMMYFUNCTION("""COMPUTED_VALUE"""),FALSE)</f>
        <v>0</v>
      </c>
      <c r="N16" s="27"/>
      <c r="O16" s="13" t="b">
        <f ca="1">IFERROR(__xludf.DUMMYFUNCTION("""COMPUTED_VALUE"""),FALSE)</f>
        <v>0</v>
      </c>
      <c r="P16" s="27"/>
      <c r="Q16" s="13" t="b">
        <f ca="1">IFERROR(__xludf.DUMMYFUNCTION("""COMPUTED_VALUE"""),TRUE)</f>
        <v>1</v>
      </c>
      <c r="R16" s="27"/>
      <c r="S16" s="13" t="b">
        <f ca="1">IFERROR(__xludf.DUMMYFUNCTION("""COMPUTED_VALUE"""),TRUE)</f>
        <v>1</v>
      </c>
      <c r="T16" s="27"/>
      <c r="U16" s="13" t="b">
        <f ca="1">IFERROR(__xludf.DUMMYFUNCTION("""COMPUTED_VALUE"""),FALSE)</f>
        <v>0</v>
      </c>
      <c r="V16" s="27"/>
      <c r="W16" s="13" t="b">
        <f ca="1">IFERROR(__xludf.DUMMYFUNCTION("""COMPUTED_VALUE"""),FALSE)</f>
        <v>0</v>
      </c>
      <c r="X16" s="27"/>
      <c r="Y16" s="13" t="b">
        <f ca="1">IFERROR(__xludf.DUMMYFUNCTION("""COMPUTED_VALUE"""),TRUE)</f>
        <v>1</v>
      </c>
      <c r="Z16" s="27"/>
      <c r="AA16" s="34"/>
      <c r="AB16" s="34"/>
      <c r="AC16" s="34"/>
      <c r="AD16" s="2"/>
      <c r="AE16" s="2"/>
      <c r="AF16" s="2"/>
    </row>
    <row r="17" spans="1:32" ht="15.6">
      <c r="A17" s="26" t="str">
        <f ca="1">IFERROR(__xludf.DUMMYFUNCTION("""COMPUTED_VALUE"""),"充電電壓控制器定期檢修")</f>
        <v>充電電壓控制器定期檢修</v>
      </c>
      <c r="B17" s="28" t="str">
        <f ca="1">IFERROR(__xludf.DUMMYFUNCTION("""COMPUTED_VALUE"""),"充電電壓控制器二年檢修1次")</f>
        <v>充電電壓控制器二年檢修1次</v>
      </c>
      <c r="C17" s="29"/>
      <c r="D17" s="32">
        <f ca="1">IFERROR(__xludf.DUMMYFUNCTION("""COMPUTED_VALUE"""),8.2)</f>
        <v>8.1999999999999993</v>
      </c>
      <c r="E17" s="39">
        <f ca="1">IFERROR(__xludf.DUMMYFUNCTION("""COMPUTED_VALUE"""),0.3)</f>
        <v>0.3</v>
      </c>
      <c r="F17" s="34"/>
      <c r="G17" s="34"/>
      <c r="H17" s="6"/>
      <c r="I17" s="7" t="str">
        <f ca="1">IFERROR(__xludf.DUMMYFUNCTION("""COMPUTED_VALUE"""),"充電電壓控制器一年檢修1次")</f>
        <v>充電電壓控制器一年檢修1次</v>
      </c>
      <c r="J17" s="8">
        <f ca="1">IFERROR(__xludf.DUMMYFUNCTION("""COMPUTED_VALUE"""),8.5)</f>
        <v>8.5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34"/>
      <c r="AB17" s="34"/>
      <c r="AC17" s="34"/>
      <c r="AD17" s="2"/>
      <c r="AE17" s="2"/>
      <c r="AF17" s="2"/>
    </row>
    <row r="18" spans="1:32" ht="15.6">
      <c r="A18" s="34"/>
      <c r="B18" s="40"/>
      <c r="C18" s="41"/>
      <c r="D18" s="34"/>
      <c r="E18" s="34"/>
      <c r="F18" s="34"/>
      <c r="G18" s="34"/>
      <c r="H18" s="6"/>
      <c r="I18" s="7" t="str">
        <f ca="1">IFERROR(__xludf.DUMMYFUNCTION("""COMPUTED_VALUE"""),"充電電壓控制器二年檢修1次")</f>
        <v>充電電壓控制器二年檢修1次</v>
      </c>
      <c r="J18" s="8">
        <f ca="1">IFERROR(__xludf.DUMMYFUNCTION("""COMPUTED_VALUE"""),8.2)</f>
        <v>8.1999999999999993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34"/>
      <c r="AB18" s="34"/>
      <c r="AC18" s="34"/>
      <c r="AD18" s="2"/>
      <c r="AE18" s="2"/>
      <c r="AF18" s="2"/>
    </row>
    <row r="19" spans="1:32" ht="15.6">
      <c r="A19" s="27"/>
      <c r="B19" s="30"/>
      <c r="C19" s="31"/>
      <c r="D19" s="27"/>
      <c r="E19" s="27"/>
      <c r="F19" s="34"/>
      <c r="G19" s="34"/>
      <c r="H19" s="6"/>
      <c r="I19" s="7" t="str">
        <f ca="1">IFERROR(__xludf.DUMMYFUNCTION("""COMPUTED_VALUE"""),"充電電壓控制器未定期檢修")</f>
        <v>充電電壓控制器未定期檢修</v>
      </c>
      <c r="J19" s="8">
        <f ca="1">IFERROR(__xludf.DUMMYFUNCTION("""COMPUTED_VALUE"""),7.5)</f>
        <v>7.5</v>
      </c>
      <c r="K19" s="2"/>
      <c r="L19" s="9"/>
      <c r="M19" s="2"/>
      <c r="N19" s="9"/>
      <c r="O19" s="2"/>
      <c r="P19" s="9"/>
      <c r="Q19" s="2"/>
      <c r="R19" s="9"/>
      <c r="S19" s="2"/>
      <c r="T19" s="9"/>
      <c r="U19" s="2"/>
      <c r="V19" s="9"/>
      <c r="W19" s="2"/>
      <c r="X19" s="9"/>
      <c r="Y19" s="2"/>
      <c r="Z19" s="9"/>
      <c r="AA19" s="34"/>
      <c r="AB19" s="34"/>
      <c r="AC19" s="34"/>
      <c r="AD19" s="2"/>
      <c r="AE19" s="2"/>
      <c r="AF19" s="2"/>
    </row>
    <row r="20" spans="1:32" ht="15.6">
      <c r="A20" s="26" t="str">
        <f ca="1">IFERROR(__xludf.DUMMYFUNCTION("""COMPUTED_VALUE"""),"充電電壓控制器有故障監視")</f>
        <v>充電電壓控制器有故障監視</v>
      </c>
      <c r="B20" s="28" t="str">
        <f ca="1">IFERROR(__xludf.DUMMYFUNCTION("""COMPUTED_VALUE"""),"控制器具有故障監視功能")</f>
        <v>控制器具有故障監視功能</v>
      </c>
      <c r="C20" s="29"/>
      <c r="D20" s="32">
        <f ca="1">IFERROR(__xludf.DUMMYFUNCTION("""COMPUTED_VALUE"""),8.6)</f>
        <v>8.6</v>
      </c>
      <c r="E20" s="39">
        <f ca="1">IFERROR(__xludf.DUMMYFUNCTION("""COMPUTED_VALUE"""),0.3)</f>
        <v>0.3</v>
      </c>
      <c r="F20" s="34"/>
      <c r="G20" s="34"/>
      <c r="H20" s="6"/>
      <c r="I20" s="7" t="str">
        <f ca="1">IFERROR(__xludf.DUMMYFUNCTION("""COMPUTED_VALUE"""),"控制器具有故障監視功能")</f>
        <v>控制器具有故障監視功能</v>
      </c>
      <c r="J20" s="8">
        <f ca="1">IFERROR(__xludf.DUMMYFUNCTION("""COMPUTED_VALUE"""),8.6)</f>
        <v>8.6</v>
      </c>
      <c r="K20" s="2"/>
      <c r="L20" s="9"/>
      <c r="M20" s="2"/>
      <c r="N20" s="9"/>
      <c r="O20" s="2"/>
      <c r="P20" s="9"/>
      <c r="Q20" s="2"/>
      <c r="R20" s="9"/>
      <c r="S20" s="2"/>
      <c r="T20" s="9"/>
      <c r="U20" s="2"/>
      <c r="V20" s="9"/>
      <c r="W20" s="2"/>
      <c r="X20" s="9"/>
      <c r="Y20" s="2"/>
      <c r="Z20" s="9"/>
      <c r="AA20" s="34"/>
      <c r="AB20" s="34"/>
      <c r="AC20" s="34"/>
      <c r="AD20" s="2"/>
      <c r="AE20" s="2"/>
      <c r="AF20" s="2"/>
    </row>
    <row r="21" spans="1:32" ht="15.6">
      <c r="A21" s="27"/>
      <c r="B21" s="30"/>
      <c r="C21" s="31"/>
      <c r="D21" s="27"/>
      <c r="E21" s="27"/>
      <c r="F21" s="27"/>
      <c r="G21" s="27"/>
      <c r="H21" s="16"/>
      <c r="I21" s="7" t="str">
        <f ca="1">IFERROR(__xludf.DUMMYFUNCTION("""COMPUTED_VALUE"""),"控制器無故障監視功能")</f>
        <v>控制器無故障監視功能</v>
      </c>
      <c r="J21" s="8">
        <f ca="1">IFERROR(__xludf.DUMMYFUNCTION("""COMPUTED_VALUE"""),7.8)</f>
        <v>7.8</v>
      </c>
      <c r="K21" s="2"/>
      <c r="L21" s="9"/>
      <c r="M21" s="2"/>
      <c r="N21" s="9"/>
      <c r="O21" s="2"/>
      <c r="P21" s="9"/>
      <c r="Q21" s="2"/>
      <c r="R21" s="9"/>
      <c r="S21" s="2"/>
      <c r="T21" s="9"/>
      <c r="U21" s="2"/>
      <c r="V21" s="9"/>
      <c r="W21" s="2"/>
      <c r="X21" s="9"/>
      <c r="Y21" s="2"/>
      <c r="Z21" s="9"/>
      <c r="AA21" s="27"/>
      <c r="AB21" s="27"/>
      <c r="AC21" s="27"/>
      <c r="AD21" s="2"/>
      <c r="AE21" s="2"/>
      <c r="AF21" s="2"/>
    </row>
    <row r="22" spans="1:32" ht="15.6">
      <c r="A22" s="19" t="str">
        <f ca="1">IFERROR(__xludf.DUMMYFUNCTION("IMPORTRANGE(""https://docs.google.com/spreadsheets/d/1g3k-_bsDSgGx-LrtXVu_8pmZey8G_3GZEmdJXJYtcxo/edit?gid=45886988#gid=45886988"",""'F1-a2-1'!A1:AC9"")"),"過電壓保護設定不當 F1-a2-1(t)")</f>
        <v>過電壓保護設定不當 F1-a2-1(t)</v>
      </c>
      <c r="B22" s="20"/>
      <c r="C22" s="20"/>
      <c r="D22" s="20"/>
      <c r="E22" s="20"/>
      <c r="F22" s="20"/>
      <c r="G22" s="20"/>
      <c r="H22" s="1"/>
      <c r="I22" s="21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2"/>
      <c r="AA22" s="23"/>
      <c r="AB22" s="24"/>
      <c r="AC22" s="24"/>
      <c r="AD22" s="2"/>
      <c r="AE22" s="2"/>
      <c r="AF22" s="2"/>
    </row>
    <row r="23" spans="1:32" ht="46.8">
      <c r="A23" s="3" t="str">
        <f ca="1">IFERROR(__xludf.DUMMYFUNCTION("""COMPUTED_VALUE"""),"確保可靠度的手段")</f>
        <v>確保可靠度的手段</v>
      </c>
      <c r="B23" s="25" t="str">
        <f ca="1">IFERROR(__xludf.DUMMYFUNCTION("""COMPUTED_VALUE"""),"確證方式")</f>
        <v>確證方式</v>
      </c>
      <c r="C23" s="22"/>
      <c r="D23" s="3" t="str">
        <f ca="1">IFERROR(__xludf.DUMMYFUNCTION("""COMPUTED_VALUE"""),"得分")</f>
        <v>得分</v>
      </c>
      <c r="E23" s="3" t="str">
        <f ca="1">IFERROR(__xludf.DUMMYFUNCTION("""COMPUTED_VALUE"""),"權重")</f>
        <v>權重</v>
      </c>
      <c r="F23" s="3" t="str">
        <f ca="1">IFERROR(__xludf.DUMMYFUNCTION("""COMPUTED_VALUE"""),"可靠度概率")</f>
        <v>可靠度概率</v>
      </c>
      <c r="G23" s="3" t="str">
        <f ca="1">IFERROR(__xludf.DUMMYFUNCTION("""COMPUTED_VALUE"""),"F1-a2-1(t)")</f>
        <v>F1-a2-1(t)</v>
      </c>
      <c r="H23" s="4"/>
      <c r="I23" s="5" t="str">
        <f ca="1">IFERROR(__xludf.DUMMYFUNCTION("""COMPUTED_VALUE"""),"調查問項")</f>
        <v>調查問項</v>
      </c>
      <c r="J23" s="5" t="str">
        <f ca="1">IFERROR(__xludf.DUMMYFUNCTION("""COMPUTED_VALUE"""),"分項分數")</f>
        <v>分項分數</v>
      </c>
      <c r="K23" s="5" t="str">
        <f ca="1">IFERROR(__xludf.DUMMYFUNCTION("""COMPUTED_VALUE"""),"勾選組合")</f>
        <v>勾選組合</v>
      </c>
      <c r="L23" s="5" t="str">
        <f ca="1">IFERROR(__xludf.DUMMYFUNCTION("""COMPUTED_VALUE"""),"得分")</f>
        <v>得分</v>
      </c>
      <c r="M23" s="5" t="str">
        <f ca="1">IFERROR(__xludf.DUMMYFUNCTION("""COMPUTED_VALUE"""),"勾選組合")</f>
        <v>勾選組合</v>
      </c>
      <c r="N23" s="5" t="str">
        <f ca="1">IFERROR(__xludf.DUMMYFUNCTION("""COMPUTED_VALUE"""),"得分")</f>
        <v>得分</v>
      </c>
      <c r="O23" s="5" t="str">
        <f ca="1">IFERROR(__xludf.DUMMYFUNCTION("""COMPUTED_VALUE"""),"勾選組合")</f>
        <v>勾選組合</v>
      </c>
      <c r="P23" s="5" t="str">
        <f ca="1">IFERROR(__xludf.DUMMYFUNCTION("""COMPUTED_VALUE"""),"得分")</f>
        <v>得分</v>
      </c>
      <c r="Q23" s="5" t="str">
        <f ca="1">IFERROR(__xludf.DUMMYFUNCTION("""COMPUTED_VALUE"""),"勾選組合")</f>
        <v>勾選組合</v>
      </c>
      <c r="R23" s="5" t="str">
        <f ca="1">IFERROR(__xludf.DUMMYFUNCTION("""COMPUTED_VALUE"""),"得分")</f>
        <v>得分</v>
      </c>
      <c r="S23" s="5" t="str">
        <f ca="1">IFERROR(__xludf.DUMMYFUNCTION("""COMPUTED_VALUE"""),"勾選組合")</f>
        <v>勾選組合</v>
      </c>
      <c r="T23" s="5" t="str">
        <f ca="1">IFERROR(__xludf.DUMMYFUNCTION("""COMPUTED_VALUE"""),"得分")</f>
        <v>得分</v>
      </c>
      <c r="U23" s="5" t="str">
        <f ca="1">IFERROR(__xludf.DUMMYFUNCTION("""COMPUTED_VALUE"""),"勾選組合")</f>
        <v>勾選組合</v>
      </c>
      <c r="V23" s="5" t="str">
        <f ca="1">IFERROR(__xludf.DUMMYFUNCTION("""COMPUTED_VALUE"""),"得分")</f>
        <v>得分</v>
      </c>
      <c r="W23" s="5" t="str">
        <f ca="1">IFERROR(__xludf.DUMMYFUNCTION("""COMPUTED_VALUE"""),"勾選組合")</f>
        <v>勾選組合</v>
      </c>
      <c r="X23" s="5" t="str">
        <f ca="1">IFERROR(__xludf.DUMMYFUNCTION("""COMPUTED_VALUE"""),"得分")</f>
        <v>得分</v>
      </c>
      <c r="Y23" s="5" t="str">
        <f ca="1">IFERROR(__xludf.DUMMYFUNCTION("""COMPUTED_VALUE"""),"勾選組合")</f>
        <v>勾選組合</v>
      </c>
      <c r="Z23" s="5" t="str">
        <f ca="1">IFERROR(__xludf.DUMMYFUNCTION("""COMPUTED_VALUE"""),"得分")</f>
        <v>得分</v>
      </c>
      <c r="AA23" s="25" t="str">
        <f ca="1">IFERROR(__xludf.DUMMYFUNCTION("""COMPUTED_VALUE"""),"F1-a2-1(t)")</f>
        <v>F1-a2-1(t)</v>
      </c>
      <c r="AB23" s="20"/>
      <c r="AC23" s="22"/>
      <c r="AD23" s="2"/>
      <c r="AE23" s="2"/>
      <c r="AF23" s="2"/>
    </row>
    <row r="24" spans="1:32" ht="15.6">
      <c r="A24" s="26" t="str">
        <f ca="1">IFERROR(__xludf.DUMMYFUNCTION("""COMPUTED_VALUE"""),"符合規定的過電壓保護設定")</f>
        <v>符合規定的過電壓保護設定</v>
      </c>
      <c r="B24" s="28" t="str">
        <f ca="1">IFERROR(__xludf.DUMMYFUNCTION("""COMPUTED_VALUE"""),"經由第三方查核確認")</f>
        <v>經由第三方查核確認</v>
      </c>
      <c r="C24" s="29"/>
      <c r="D24" s="32">
        <f ca="1">IFERROR(__xludf.DUMMYFUNCTION("""COMPUTED_VALUE"""),8.5)</f>
        <v>8.5</v>
      </c>
      <c r="E24" s="39">
        <f ca="1">IFERROR(__xludf.DUMMYFUNCTION("""COMPUTED_VALUE"""),0.4)</f>
        <v>0.4</v>
      </c>
      <c r="F24" s="38">
        <f ca="1">IFERROR(__xludf.DUMMYFUNCTION("""COMPUTED_VALUE"""),0.868)</f>
        <v>0.86799999999999999</v>
      </c>
      <c r="G24" s="38">
        <f ca="1">IFERROR(__xludf.DUMMYFUNCTION("""COMPUTED_VALUE"""),0.132)</f>
        <v>0.13200000000000001</v>
      </c>
      <c r="H24" s="6"/>
      <c r="I24" s="7" t="str">
        <f ca="1">IFERROR(__xludf.DUMMYFUNCTION("""COMPUTED_VALUE"""),"經由第三方查核確認")</f>
        <v>經由第三方查核確認</v>
      </c>
      <c r="J24" s="8">
        <f ca="1">IFERROR(__xludf.DUMMYFUNCTION("""COMPUTED_VALUE"""),8.5)</f>
        <v>8.5</v>
      </c>
      <c r="K24" s="2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37">
        <f ca="1">IFERROR(__xludf.DUMMYFUNCTION("""COMPUTED_VALUE"""),0.1254)</f>
        <v>0.12540000000000001</v>
      </c>
      <c r="AB24" s="37">
        <f ca="1">IFERROR(__xludf.DUMMYFUNCTION("""COMPUTED_VALUE"""),0.132)</f>
        <v>0.13200000000000001</v>
      </c>
      <c r="AC24" s="37">
        <f ca="1">IFERROR(__xludf.DUMMYFUNCTION("""COMPUTED_VALUE"""),0.1386)</f>
        <v>0.1386</v>
      </c>
      <c r="AD24" s="2"/>
      <c r="AE24" s="2"/>
      <c r="AF24" s="2"/>
    </row>
    <row r="25" spans="1:32" ht="15.6">
      <c r="A25" s="27"/>
      <c r="B25" s="30"/>
      <c r="C25" s="31"/>
      <c r="D25" s="27"/>
      <c r="E25" s="27"/>
      <c r="F25" s="34"/>
      <c r="G25" s="34"/>
      <c r="H25" s="6"/>
      <c r="I25" s="7" t="str">
        <f ca="1">IFERROR(__xludf.DUMMYFUNCTION("""COMPUTED_VALUE"""),"未經由第三方查核確認")</f>
        <v>未經由第三方查核確認</v>
      </c>
      <c r="J25" s="8">
        <f ca="1">IFERROR(__xludf.DUMMYFUNCTION("""COMPUTED_VALUE"""),7.5)</f>
        <v>7.5</v>
      </c>
      <c r="K25" s="2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4"/>
      <c r="AB25" s="34"/>
      <c r="AC25" s="34"/>
      <c r="AD25" s="2"/>
      <c r="AE25" s="2"/>
      <c r="AF25" s="2"/>
    </row>
    <row r="26" spans="1:32" ht="62.4">
      <c r="A26" s="36" t="str">
        <f ca="1">IFERROR(__xludf.DUMMYFUNCTION("""COMPUTED_VALUE"""),"過電壓保護動作移報訊號")</f>
        <v>過電壓保護動作移報訊號</v>
      </c>
      <c r="B26" s="10" t="b">
        <f ca="1">IFERROR(__xludf.DUMMYFUNCTION("""COMPUTED_VALUE"""),FALSE)</f>
        <v>0</v>
      </c>
      <c r="C26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26" s="33">
        <f ca="1">IFERROR(__xludf.DUMMYFUNCTION("""COMPUTED_VALUE"""),9)</f>
        <v>9</v>
      </c>
      <c r="E26" s="35">
        <f ca="1">IFERROR(__xludf.DUMMYFUNCTION("""COMPUTED_VALUE"""),0.3)</f>
        <v>0.3</v>
      </c>
      <c r="F26" s="34"/>
      <c r="G26" s="34"/>
      <c r="H26" s="6"/>
      <c r="I26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26" s="12">
        <f ca="1">IFERROR(__xludf.DUMMYFUNCTION("""COMPUTED_VALUE"""),8.8)</f>
        <v>8.8000000000000007</v>
      </c>
      <c r="K26" s="13" t="b">
        <f ca="1">IFERROR(__xludf.DUMMYFUNCTION("""COMPUTED_VALUE"""),TRUE)</f>
        <v>1</v>
      </c>
      <c r="L26" s="33">
        <f ca="1">IFERROR(__xludf.DUMMYFUNCTION("""COMPUTED_VALUE"""),9.2)</f>
        <v>9.1999999999999993</v>
      </c>
      <c r="M26" s="13" t="b">
        <f ca="1">IFERROR(__xludf.DUMMYFUNCTION("""COMPUTED_VALUE"""),FALSE)</f>
        <v>0</v>
      </c>
      <c r="N26" s="33">
        <f ca="1">IFERROR(__xludf.DUMMYFUNCTION("""COMPUTED_VALUE"""),7.8)</f>
        <v>7.8</v>
      </c>
      <c r="O26" s="13" t="b">
        <f ca="1">IFERROR(__xludf.DUMMYFUNCTION("""COMPUTED_VALUE"""),TRUE)</f>
        <v>1</v>
      </c>
      <c r="P26" s="33">
        <f ca="1">IFERROR(__xludf.DUMMYFUNCTION("""COMPUTED_VALUE"""),9)</f>
        <v>9</v>
      </c>
      <c r="Q26" s="13" t="b">
        <f ca="1">IFERROR(__xludf.DUMMYFUNCTION("""COMPUTED_VALUE"""),FALSE)</f>
        <v>0</v>
      </c>
      <c r="R26" s="33">
        <f ca="1">IFERROR(__xludf.DUMMYFUNCTION("""COMPUTED_VALUE"""),9)</f>
        <v>9</v>
      </c>
      <c r="S26" s="13" t="b">
        <f ca="1">IFERROR(__xludf.DUMMYFUNCTION("""COMPUTED_VALUE"""),TRUE)</f>
        <v>1</v>
      </c>
      <c r="T26" s="33">
        <f ca="1">IFERROR(__xludf.DUMMYFUNCTION("""COMPUTED_VALUE"""),9)</f>
        <v>9</v>
      </c>
      <c r="U26" s="13" t="b">
        <f ca="1">IFERROR(__xludf.DUMMYFUNCTION("""COMPUTED_VALUE"""),TRUE)</f>
        <v>1</v>
      </c>
      <c r="V26" s="33">
        <f ca="1">IFERROR(__xludf.DUMMYFUNCTION("""COMPUTED_VALUE"""),8.8)</f>
        <v>8.8000000000000007</v>
      </c>
      <c r="W26" s="13" t="b">
        <f ca="1">IFERROR(__xludf.DUMMYFUNCTION("""COMPUTED_VALUE"""),FALSE)</f>
        <v>0</v>
      </c>
      <c r="X26" s="33">
        <f ca="1">IFERROR(__xludf.DUMMYFUNCTION("""COMPUTED_VALUE"""),8.5)</f>
        <v>8.5</v>
      </c>
      <c r="Y26" s="13" t="b">
        <f ca="1">IFERROR(__xludf.DUMMYFUNCTION("""COMPUTED_VALUE"""),FALSE)</f>
        <v>0</v>
      </c>
      <c r="Z26" s="33">
        <f ca="1">IFERROR(__xludf.DUMMYFUNCTION("""COMPUTED_VALUE"""),8.5)</f>
        <v>8.5</v>
      </c>
      <c r="AA26" s="34"/>
      <c r="AB26" s="34"/>
      <c r="AC26" s="34"/>
      <c r="AD26" s="2"/>
      <c r="AE26" s="2"/>
      <c r="AF26" s="2"/>
    </row>
    <row r="27" spans="1:32" ht="31.2">
      <c r="A27" s="34"/>
      <c r="B27" s="10" t="b">
        <f ca="1">IFERROR(__xludf.DUMMYFUNCTION("""COMPUTED_VALUE"""),TRUE)</f>
        <v>1</v>
      </c>
      <c r="C27" s="11" t="str">
        <f ca="1">IFERROR(__xludf.DUMMYFUNCTION("""COMPUTED_VALUE"""),"BMS通過Test Report - IEC 60730-1 - Annex H測試")</f>
        <v>BMS通過Test Report - IEC 60730-1 - Annex H測試</v>
      </c>
      <c r="D27" s="34"/>
      <c r="E27" s="34"/>
      <c r="F27" s="34"/>
      <c r="G27" s="34"/>
      <c r="H27" s="6"/>
      <c r="I27" s="11" t="str">
        <f ca="1">IFERROR(__xludf.DUMMYFUNCTION("""COMPUTED_VALUE"""),"BMS通過Test Report - IEC 60730-1 - Annex H測試")</f>
        <v>BMS通過Test Report - IEC 60730-1 - Annex H測試</v>
      </c>
      <c r="J27" s="12">
        <f ca="1">IFERROR(__xludf.DUMMYFUNCTION("""COMPUTED_VALUE"""),8.5)</f>
        <v>8.5</v>
      </c>
      <c r="K27" s="14" t="b">
        <f ca="1">IFERROR(__xludf.DUMMYFUNCTION("""COMPUTED_VALUE"""),TRUE)</f>
        <v>1</v>
      </c>
      <c r="L27" s="34"/>
      <c r="M27" s="14" t="b">
        <f ca="1">IFERROR(__xludf.DUMMYFUNCTION("""COMPUTED_VALUE"""),FALSE)</f>
        <v>0</v>
      </c>
      <c r="N27" s="34"/>
      <c r="O27" s="14" t="b">
        <f ca="1">IFERROR(__xludf.DUMMYFUNCTION("""COMPUTED_VALUE"""),TRUE)</f>
        <v>1</v>
      </c>
      <c r="P27" s="34"/>
      <c r="Q27" s="14" t="b">
        <f ca="1">IFERROR(__xludf.DUMMYFUNCTION("""COMPUTED_VALUE"""),TRUE)</f>
        <v>1</v>
      </c>
      <c r="R27" s="34"/>
      <c r="S27" s="14" t="b">
        <f ca="1">IFERROR(__xludf.DUMMYFUNCTION("""COMPUTED_VALUE"""),FALSE)</f>
        <v>0</v>
      </c>
      <c r="T27" s="34"/>
      <c r="U27" s="14" t="b">
        <f ca="1">IFERROR(__xludf.DUMMYFUNCTION("""COMPUTED_VALUE"""),FALSE)</f>
        <v>0</v>
      </c>
      <c r="V27" s="34"/>
      <c r="W27" s="14" t="b">
        <f ca="1">IFERROR(__xludf.DUMMYFUNCTION("""COMPUTED_VALUE"""),TRUE)</f>
        <v>1</v>
      </c>
      <c r="X27" s="34"/>
      <c r="Y27" s="14" t="b">
        <f ca="1">IFERROR(__xludf.DUMMYFUNCTION("""COMPUTED_VALUE"""),FALSE)</f>
        <v>0</v>
      </c>
      <c r="Z27" s="34"/>
      <c r="AA27" s="34"/>
      <c r="AB27" s="34"/>
      <c r="AC27" s="34"/>
      <c r="AD27" s="2"/>
      <c r="AE27" s="2"/>
      <c r="AF27" s="2"/>
    </row>
    <row r="28" spans="1:32" ht="31.2">
      <c r="A28" s="27"/>
      <c r="B28" s="10" t="b">
        <f ca="1">IFERROR(__xludf.DUMMYFUNCTION("""COMPUTED_VALUE"""),TRUE)</f>
        <v>1</v>
      </c>
      <c r="C28" s="11" t="str">
        <f ca="1">IFERROR(__xludf.DUMMYFUNCTION("""COMPUTED_VALUE"""),"異常訊號可同時通知現場及遠端管理人員")</f>
        <v>異常訊號可同時通知現場及遠端管理人員</v>
      </c>
      <c r="D28" s="27"/>
      <c r="E28" s="27"/>
      <c r="F28" s="34"/>
      <c r="G28" s="34"/>
      <c r="H28" s="6"/>
      <c r="I28" s="11" t="str">
        <f ca="1">IFERROR(__xludf.DUMMYFUNCTION("""COMPUTED_VALUE"""),"異常訊號可同時通知現場及遠端管理人員")</f>
        <v>異常訊號可同時通知現場及遠端管理人員</v>
      </c>
      <c r="J28" s="12">
        <f ca="1">IFERROR(__xludf.DUMMYFUNCTION("""COMPUTED_VALUE"""),8.5)</f>
        <v>8.5</v>
      </c>
      <c r="K28" s="13" t="b">
        <f ca="1">IFERROR(__xludf.DUMMYFUNCTION("""COMPUTED_VALUE"""),TRUE)</f>
        <v>1</v>
      </c>
      <c r="L28" s="27"/>
      <c r="M28" s="13" t="b">
        <f ca="1">IFERROR(__xludf.DUMMYFUNCTION("""COMPUTED_VALUE"""),FALSE)</f>
        <v>0</v>
      </c>
      <c r="N28" s="27"/>
      <c r="O28" s="13" t="b">
        <f ca="1">IFERROR(__xludf.DUMMYFUNCTION("""COMPUTED_VALUE"""),FALSE)</f>
        <v>0</v>
      </c>
      <c r="P28" s="27"/>
      <c r="Q28" s="13" t="b">
        <f ca="1">IFERROR(__xludf.DUMMYFUNCTION("""COMPUTED_VALUE"""),TRUE)</f>
        <v>1</v>
      </c>
      <c r="R28" s="27"/>
      <c r="S28" s="13" t="b">
        <f ca="1">IFERROR(__xludf.DUMMYFUNCTION("""COMPUTED_VALUE"""),TRUE)</f>
        <v>1</v>
      </c>
      <c r="T28" s="27"/>
      <c r="U28" s="13" t="b">
        <f ca="1">IFERROR(__xludf.DUMMYFUNCTION("""COMPUTED_VALUE"""),FALSE)</f>
        <v>0</v>
      </c>
      <c r="V28" s="27"/>
      <c r="W28" s="13" t="b">
        <f ca="1">IFERROR(__xludf.DUMMYFUNCTION("""COMPUTED_VALUE"""),FALSE)</f>
        <v>0</v>
      </c>
      <c r="X28" s="27"/>
      <c r="Y28" s="13" t="b">
        <f ca="1">IFERROR(__xludf.DUMMYFUNCTION("""COMPUTED_VALUE"""),TRUE)</f>
        <v>1</v>
      </c>
      <c r="Z28" s="27"/>
      <c r="AA28" s="34"/>
      <c r="AB28" s="34"/>
      <c r="AC28" s="34"/>
      <c r="AD28" s="2"/>
      <c r="AE28" s="2"/>
      <c r="AF28" s="2"/>
    </row>
    <row r="29" spans="1:32" ht="15.6">
      <c r="A29" s="26" t="str">
        <f ca="1">IFERROR(__xludf.DUMMYFUNCTION("""COMPUTED_VALUE"""),"過電壓保護的歷史紀錄")</f>
        <v>過電壓保護的歷史紀錄</v>
      </c>
      <c r="B29" s="28" t="str">
        <f ca="1">IFERROR(__xludf.DUMMYFUNCTION("""COMPUTED_VALUE"""),"歷史紀錄保存完整")</f>
        <v>歷史紀錄保存完整</v>
      </c>
      <c r="C29" s="29"/>
      <c r="D29" s="32">
        <f ca="1">IFERROR(__xludf.DUMMYFUNCTION("""COMPUTED_VALUE"""),8.6)</f>
        <v>8.6</v>
      </c>
      <c r="E29" s="39">
        <f ca="1">IFERROR(__xludf.DUMMYFUNCTION("""COMPUTED_VALUE"""),0.3)</f>
        <v>0.3</v>
      </c>
      <c r="F29" s="34"/>
      <c r="G29" s="34"/>
      <c r="H29" s="6"/>
      <c r="I29" s="7" t="str">
        <f ca="1">IFERROR(__xludf.DUMMYFUNCTION("""COMPUTED_VALUE"""),"歷史紀錄保存完整")</f>
        <v>歷史紀錄保存完整</v>
      </c>
      <c r="J29" s="8">
        <f ca="1">IFERROR(__xludf.DUMMYFUNCTION("""COMPUTED_VALUE"""),8.6)</f>
        <v>8.6</v>
      </c>
      <c r="K29" s="2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4"/>
      <c r="AB29" s="34"/>
      <c r="AC29" s="34"/>
      <c r="AD29" s="2"/>
      <c r="AE29" s="2"/>
      <c r="AF29" s="2"/>
    </row>
    <row r="30" spans="1:32" ht="15.6">
      <c r="A30" s="27"/>
      <c r="B30" s="30"/>
      <c r="C30" s="31"/>
      <c r="D30" s="27"/>
      <c r="E30" s="27"/>
      <c r="F30" s="27"/>
      <c r="G30" s="27"/>
      <c r="H30" s="6"/>
      <c r="I30" s="7" t="str">
        <f ca="1">IFERROR(__xludf.DUMMYFUNCTION("""COMPUTED_VALUE"""),"歷史紀錄未保存完整")</f>
        <v>歷史紀錄未保存完整</v>
      </c>
      <c r="J30" s="8">
        <f ca="1">IFERROR(__xludf.DUMMYFUNCTION("""COMPUTED_VALUE"""),7.8)</f>
        <v>7.8</v>
      </c>
      <c r="K30" s="2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7"/>
      <c r="AB30" s="27"/>
      <c r="AC30" s="27"/>
      <c r="AD30" s="2"/>
      <c r="AE30" s="2"/>
      <c r="AF30" s="2"/>
    </row>
    <row r="31" spans="1:32" ht="15.6">
      <c r="A31" s="19" t="str">
        <f ca="1">IFERROR(__xludf.DUMMYFUNCTION("IMPORTRANGE(""https://docs.google.com/spreadsheets/d/1g3k-_bsDSgGx-LrtXVu_8pmZey8G_3GZEmdJXJYtcxo/edit?gid=1886879996#gid=1886879996"",""'F1-a2-2'!A1:AC8"")"),"過電壓保護裝置故障 F1-a2-2(t)")</f>
        <v>過電壓保護裝置故障 F1-a2-2(t)</v>
      </c>
      <c r="B31" s="20"/>
      <c r="C31" s="20"/>
      <c r="D31" s="20"/>
      <c r="E31" s="20"/>
      <c r="F31" s="20"/>
      <c r="G31" s="20"/>
      <c r="H31" s="1"/>
      <c r="I31" s="2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2"/>
      <c r="AA31" s="23"/>
      <c r="AB31" s="24"/>
      <c r="AC31" s="24"/>
      <c r="AD31" s="2"/>
      <c r="AE31" s="2"/>
      <c r="AF31" s="2"/>
    </row>
    <row r="32" spans="1:32" ht="46.8">
      <c r="A32" s="3" t="str">
        <f ca="1">IFERROR(__xludf.DUMMYFUNCTION("""COMPUTED_VALUE"""),"確保可靠度的手段")</f>
        <v>確保可靠度的手段</v>
      </c>
      <c r="B32" s="25" t="str">
        <f ca="1">IFERROR(__xludf.DUMMYFUNCTION("""COMPUTED_VALUE"""),"確證方式")</f>
        <v>確證方式</v>
      </c>
      <c r="C32" s="22"/>
      <c r="D32" s="3" t="str">
        <f ca="1">IFERROR(__xludf.DUMMYFUNCTION("""COMPUTED_VALUE"""),"得分")</f>
        <v>得分</v>
      </c>
      <c r="E32" s="3" t="str">
        <f ca="1">IFERROR(__xludf.DUMMYFUNCTION("""COMPUTED_VALUE"""),"權重")</f>
        <v>權重</v>
      </c>
      <c r="F32" s="17" t="str">
        <f ca="1">IFERROR(__xludf.DUMMYFUNCTION("""COMPUTED_VALUE"""),"可靠度
 概率")</f>
        <v>可靠度
 概率</v>
      </c>
      <c r="G32" s="17" t="str">
        <f ca="1">IFERROR(__xludf.DUMMYFUNCTION("""COMPUTED_VALUE"""),"F1-a2-2(t)")</f>
        <v>F1-a2-2(t)</v>
      </c>
      <c r="H32" s="16"/>
      <c r="I32" s="5" t="str">
        <f ca="1">IFERROR(__xludf.DUMMYFUNCTION("""COMPUTED_VALUE"""),"調查問項")</f>
        <v>調查問項</v>
      </c>
      <c r="J32" s="5" t="str">
        <f ca="1">IFERROR(__xludf.DUMMYFUNCTION("""COMPUTED_VALUE"""),"分項分數")</f>
        <v>分項分數</v>
      </c>
      <c r="K32" s="5" t="str">
        <f ca="1">IFERROR(__xludf.DUMMYFUNCTION("""COMPUTED_VALUE"""),"勾選組合")</f>
        <v>勾選組合</v>
      </c>
      <c r="L32" s="5" t="str">
        <f ca="1">IFERROR(__xludf.DUMMYFUNCTION("""COMPUTED_VALUE"""),"得分")</f>
        <v>得分</v>
      </c>
      <c r="M32" s="5" t="str">
        <f ca="1">IFERROR(__xludf.DUMMYFUNCTION("""COMPUTED_VALUE"""),"勾選組合")</f>
        <v>勾選組合</v>
      </c>
      <c r="N32" s="5" t="str">
        <f ca="1">IFERROR(__xludf.DUMMYFUNCTION("""COMPUTED_VALUE"""),"得分")</f>
        <v>得分</v>
      </c>
      <c r="O32" s="5" t="str">
        <f ca="1">IFERROR(__xludf.DUMMYFUNCTION("""COMPUTED_VALUE"""),"勾選組合")</f>
        <v>勾選組合</v>
      </c>
      <c r="P32" s="5" t="str">
        <f ca="1">IFERROR(__xludf.DUMMYFUNCTION("""COMPUTED_VALUE"""),"得分")</f>
        <v>得分</v>
      </c>
      <c r="Q32" s="5" t="str">
        <f ca="1">IFERROR(__xludf.DUMMYFUNCTION("""COMPUTED_VALUE"""),"勾選組合")</f>
        <v>勾選組合</v>
      </c>
      <c r="R32" s="5" t="str">
        <f ca="1">IFERROR(__xludf.DUMMYFUNCTION("""COMPUTED_VALUE"""),"得分")</f>
        <v>得分</v>
      </c>
      <c r="S32" s="5" t="str">
        <f ca="1">IFERROR(__xludf.DUMMYFUNCTION("""COMPUTED_VALUE"""),"勾選組合")</f>
        <v>勾選組合</v>
      </c>
      <c r="T32" s="5" t="str">
        <f ca="1">IFERROR(__xludf.DUMMYFUNCTION("""COMPUTED_VALUE"""),"得分")</f>
        <v>得分</v>
      </c>
      <c r="U32" s="5" t="str">
        <f ca="1">IFERROR(__xludf.DUMMYFUNCTION("""COMPUTED_VALUE"""),"勾選組合")</f>
        <v>勾選組合</v>
      </c>
      <c r="V32" s="5" t="str">
        <f ca="1">IFERROR(__xludf.DUMMYFUNCTION("""COMPUTED_VALUE"""),"得分")</f>
        <v>得分</v>
      </c>
      <c r="W32" s="5" t="str">
        <f ca="1">IFERROR(__xludf.DUMMYFUNCTION("""COMPUTED_VALUE"""),"勾選組合")</f>
        <v>勾選組合</v>
      </c>
      <c r="X32" s="5" t="str">
        <f ca="1">IFERROR(__xludf.DUMMYFUNCTION("""COMPUTED_VALUE"""),"得分")</f>
        <v>得分</v>
      </c>
      <c r="Y32" s="5" t="str">
        <f ca="1">IFERROR(__xludf.DUMMYFUNCTION("""COMPUTED_VALUE"""),"勾選組合")</f>
        <v>勾選組合</v>
      </c>
      <c r="Z32" s="5" t="str">
        <f ca="1">IFERROR(__xludf.DUMMYFUNCTION("""COMPUTED_VALUE"""),"得分")</f>
        <v>得分</v>
      </c>
      <c r="AA32" s="25" t="str">
        <f ca="1">IFERROR(__xludf.DUMMYFUNCTION("""COMPUTED_VALUE"""),"F1-a2-2(t)")</f>
        <v>F1-a2-2(t)</v>
      </c>
      <c r="AB32" s="20"/>
      <c r="AC32" s="22"/>
      <c r="AD32" s="2"/>
      <c r="AE32" s="2"/>
      <c r="AF32" s="2"/>
    </row>
    <row r="33" spans="1:32" ht="15.6">
      <c r="A33" s="36" t="str">
        <f ca="1">IFERROR(__xludf.DUMMYFUNCTION("""COMPUTED_VALUE"""),"過電壓保護裝置通過認證")</f>
        <v>過電壓保護裝置通過認證</v>
      </c>
      <c r="B33" s="10" t="b">
        <f ca="1">IFERROR(__xludf.DUMMYFUNCTION("""COMPUTED_VALUE"""),TRUE)</f>
        <v>1</v>
      </c>
      <c r="C33" s="11" t="str">
        <f ca="1">IFERROR(__xludf.DUMMYFUNCTION("""COMPUTED_VALUE"""),"取得 UL 1973 認證證書")</f>
        <v>取得 UL 1973 認證證書</v>
      </c>
      <c r="D33" s="33">
        <f ca="1">IFERROR(__xludf.DUMMYFUNCTION("""COMPUTED_VALUE"""),9.2)</f>
        <v>9.1999999999999993</v>
      </c>
      <c r="E33" s="35">
        <f ca="1">IFERROR(__xludf.DUMMYFUNCTION("""COMPUTED_VALUE"""),0.6)</f>
        <v>0.6</v>
      </c>
      <c r="F33" s="38">
        <f ca="1">IFERROR(__xludf.DUMMYFUNCTION("""COMPUTED_VALUE"""),0.879999999999999)</f>
        <v>0.87999999999999901</v>
      </c>
      <c r="G33" s="38">
        <f ca="1">IFERROR(__xludf.DUMMYFUNCTION("""COMPUTED_VALUE"""),0.12)</f>
        <v>0.12</v>
      </c>
      <c r="H33" s="16"/>
      <c r="I33" s="11" t="str">
        <f ca="1">IFERROR(__xludf.DUMMYFUNCTION("""COMPUTED_VALUE"""),"取得 UL 1973 認證證書")</f>
        <v>取得 UL 1973 認證證書</v>
      </c>
      <c r="J33" s="12">
        <f ca="1">IFERROR(__xludf.DUMMYFUNCTION("""COMPUTED_VALUE"""),8.6)</f>
        <v>8.6</v>
      </c>
      <c r="K33" s="13" t="b">
        <f ca="1">IFERROR(__xludf.DUMMYFUNCTION("""COMPUTED_VALUE"""),TRUE)</f>
        <v>1</v>
      </c>
      <c r="L33" s="33">
        <f ca="1">IFERROR(__xludf.DUMMYFUNCTION("""COMPUTED_VALUE"""),9.2)</f>
        <v>9.1999999999999993</v>
      </c>
      <c r="M33" s="13" t="b">
        <f ca="1">IFERROR(__xludf.DUMMYFUNCTION("""COMPUTED_VALUE"""),FALSE)</f>
        <v>0</v>
      </c>
      <c r="N33" s="33">
        <f ca="1">IFERROR(__xludf.DUMMYFUNCTION("""COMPUTED_VALUE"""),7.8)</f>
        <v>7.8</v>
      </c>
      <c r="O33" s="13" t="b">
        <f ca="1">IFERROR(__xludf.DUMMYFUNCTION("""COMPUTED_VALUE"""),TRUE)</f>
        <v>1</v>
      </c>
      <c r="P33" s="33">
        <f ca="1">IFERROR(__xludf.DUMMYFUNCTION("""COMPUTED_VALUE"""),9)</f>
        <v>9</v>
      </c>
      <c r="Q33" s="13" t="b">
        <f ca="1">IFERROR(__xludf.DUMMYFUNCTION("""COMPUTED_VALUE"""),FALSE)</f>
        <v>0</v>
      </c>
      <c r="R33" s="33">
        <f ca="1">IFERROR(__xludf.DUMMYFUNCTION("""COMPUTED_VALUE"""),9)</f>
        <v>9</v>
      </c>
      <c r="S33" s="13" t="b">
        <f ca="1">IFERROR(__xludf.DUMMYFUNCTION("""COMPUTED_VALUE"""),TRUE)</f>
        <v>1</v>
      </c>
      <c r="T33" s="33">
        <f ca="1">IFERROR(__xludf.DUMMYFUNCTION("""COMPUTED_VALUE"""),9)</f>
        <v>9</v>
      </c>
      <c r="U33" s="13" t="b">
        <f ca="1">IFERROR(__xludf.DUMMYFUNCTION("""COMPUTED_VALUE"""),TRUE)</f>
        <v>1</v>
      </c>
      <c r="V33" s="33">
        <f ca="1">IFERROR(__xludf.DUMMYFUNCTION("""COMPUTED_VALUE"""),8.6)</f>
        <v>8.6</v>
      </c>
      <c r="W33" s="13" t="b">
        <f ca="1">IFERROR(__xludf.DUMMYFUNCTION("""COMPUTED_VALUE"""),FALSE)</f>
        <v>0</v>
      </c>
      <c r="X33" s="33">
        <f ca="1">IFERROR(__xludf.DUMMYFUNCTION("""COMPUTED_VALUE"""),8.6)</f>
        <v>8.6</v>
      </c>
      <c r="Y33" s="13" t="b">
        <f ca="1">IFERROR(__xludf.DUMMYFUNCTION("""COMPUTED_VALUE"""),FALSE)</f>
        <v>0</v>
      </c>
      <c r="Z33" s="33">
        <f ca="1">IFERROR(__xludf.DUMMYFUNCTION("""COMPUTED_VALUE"""),8.5)</f>
        <v>8.5</v>
      </c>
      <c r="AA33" s="37">
        <f ca="1">IFERROR(__xludf.DUMMYFUNCTION("""COMPUTED_VALUE"""),0.114)</f>
        <v>0.114</v>
      </c>
      <c r="AB33" s="37">
        <f ca="1">IFERROR(__xludf.DUMMYFUNCTION("""COMPUTED_VALUE"""),0.12)</f>
        <v>0.12</v>
      </c>
      <c r="AC33" s="37">
        <f ca="1">IFERROR(__xludf.DUMMYFUNCTION("""COMPUTED_VALUE"""),0.126)</f>
        <v>0.126</v>
      </c>
      <c r="AD33" s="2"/>
      <c r="AE33" s="2"/>
      <c r="AF33" s="2"/>
    </row>
    <row r="34" spans="1:32" ht="15.6">
      <c r="A34" s="34"/>
      <c r="B34" s="10" t="b">
        <f ca="1">IFERROR(__xludf.DUMMYFUNCTION("""COMPUTED_VALUE"""),TRUE)</f>
        <v>1</v>
      </c>
      <c r="C34" s="11" t="str">
        <f ca="1">IFERROR(__xludf.DUMMYFUNCTION("""COMPUTED_VALUE"""),"取得 CNS 62619 認證證書")</f>
        <v>取得 CNS 62619 認證證書</v>
      </c>
      <c r="D34" s="34"/>
      <c r="E34" s="34"/>
      <c r="F34" s="34"/>
      <c r="G34" s="34"/>
      <c r="H34" s="16"/>
      <c r="I34" s="11" t="str">
        <f ca="1">IFERROR(__xludf.DUMMYFUNCTION("""COMPUTED_VALUE"""),"取得 CNS 62619 認證證書")</f>
        <v>取得 CNS 62619 認證證書</v>
      </c>
      <c r="J34" s="12">
        <f ca="1">IFERROR(__xludf.DUMMYFUNCTION("""COMPUTED_VALUE"""),8.6)</f>
        <v>8.6</v>
      </c>
      <c r="K34" s="14" t="b">
        <f ca="1">IFERROR(__xludf.DUMMYFUNCTION("""COMPUTED_VALUE"""),TRUE)</f>
        <v>1</v>
      </c>
      <c r="L34" s="34"/>
      <c r="M34" s="14" t="b">
        <f ca="1">IFERROR(__xludf.DUMMYFUNCTION("""COMPUTED_VALUE"""),FALSE)</f>
        <v>0</v>
      </c>
      <c r="N34" s="34"/>
      <c r="O34" s="14" t="b">
        <f ca="1">IFERROR(__xludf.DUMMYFUNCTION("""COMPUTED_VALUE"""),TRUE)</f>
        <v>1</v>
      </c>
      <c r="P34" s="34"/>
      <c r="Q34" s="14" t="b">
        <f ca="1">IFERROR(__xludf.DUMMYFUNCTION("""COMPUTED_VALUE"""),TRUE)</f>
        <v>1</v>
      </c>
      <c r="R34" s="34"/>
      <c r="S34" s="14" t="b">
        <f ca="1">IFERROR(__xludf.DUMMYFUNCTION("""COMPUTED_VALUE"""),FALSE)</f>
        <v>0</v>
      </c>
      <c r="T34" s="34"/>
      <c r="U34" s="14" t="b">
        <f ca="1">IFERROR(__xludf.DUMMYFUNCTION("""COMPUTED_VALUE"""),FALSE)</f>
        <v>0</v>
      </c>
      <c r="V34" s="34"/>
      <c r="W34" s="14" t="b">
        <f ca="1">IFERROR(__xludf.DUMMYFUNCTION("""COMPUTED_VALUE"""),TRUE)</f>
        <v>1</v>
      </c>
      <c r="X34" s="34"/>
      <c r="Y34" s="14" t="b">
        <f ca="1">IFERROR(__xludf.DUMMYFUNCTION("""COMPUTED_VALUE"""),FALSE)</f>
        <v>0</v>
      </c>
      <c r="Z34" s="34"/>
      <c r="AA34" s="34"/>
      <c r="AB34" s="34"/>
      <c r="AC34" s="34"/>
      <c r="AD34" s="2"/>
      <c r="AE34" s="2"/>
      <c r="AF34" s="2"/>
    </row>
    <row r="35" spans="1:32" ht="15.6">
      <c r="A35" s="27"/>
      <c r="B35" s="10" t="b">
        <f ca="1">IFERROR(__xludf.DUMMYFUNCTION("""COMPUTED_VALUE"""),TRUE)</f>
        <v>1</v>
      </c>
      <c r="C35" s="11" t="str">
        <f ca="1">IFERROR(__xludf.DUMMYFUNCTION("""COMPUTED_VALUE"""),"符合 IEC 60730 之測試報告")</f>
        <v>符合 IEC 60730 之測試報告</v>
      </c>
      <c r="D35" s="27"/>
      <c r="E35" s="27"/>
      <c r="F35" s="34"/>
      <c r="G35" s="34"/>
      <c r="H35" s="16"/>
      <c r="I35" s="11" t="str">
        <f ca="1">IFERROR(__xludf.DUMMYFUNCTION("""COMPUTED_VALUE"""),"符合 IEC 60730 之測試報告")</f>
        <v>符合 IEC 60730 之測試報告</v>
      </c>
      <c r="J35" s="12">
        <f ca="1">IFERROR(__xludf.DUMMYFUNCTION("""COMPUTED_VALUE"""),8.5)</f>
        <v>8.5</v>
      </c>
      <c r="K35" s="13" t="b">
        <f ca="1">IFERROR(__xludf.DUMMYFUNCTION("""COMPUTED_VALUE"""),TRUE)</f>
        <v>1</v>
      </c>
      <c r="L35" s="27"/>
      <c r="M35" s="13" t="b">
        <f ca="1">IFERROR(__xludf.DUMMYFUNCTION("""COMPUTED_VALUE"""),FALSE)</f>
        <v>0</v>
      </c>
      <c r="N35" s="27"/>
      <c r="O35" s="13" t="b">
        <f ca="1">IFERROR(__xludf.DUMMYFUNCTION("""COMPUTED_VALUE"""),FALSE)</f>
        <v>0</v>
      </c>
      <c r="P35" s="27"/>
      <c r="Q35" s="13" t="b">
        <f ca="1">IFERROR(__xludf.DUMMYFUNCTION("""COMPUTED_VALUE"""),TRUE)</f>
        <v>1</v>
      </c>
      <c r="R35" s="27"/>
      <c r="S35" s="13" t="b">
        <f ca="1">IFERROR(__xludf.DUMMYFUNCTION("""COMPUTED_VALUE"""),TRUE)</f>
        <v>1</v>
      </c>
      <c r="T35" s="27"/>
      <c r="U35" s="13" t="b">
        <f ca="1">IFERROR(__xludf.DUMMYFUNCTION("""COMPUTED_VALUE"""),FALSE)</f>
        <v>0</v>
      </c>
      <c r="V35" s="27"/>
      <c r="W35" s="13" t="b">
        <f ca="1">IFERROR(__xludf.DUMMYFUNCTION("""COMPUTED_VALUE"""),FALSE)</f>
        <v>0</v>
      </c>
      <c r="X35" s="27"/>
      <c r="Y35" s="13" t="b">
        <f ca="1">IFERROR(__xludf.DUMMYFUNCTION("""COMPUTED_VALUE"""),TRUE)</f>
        <v>1</v>
      </c>
      <c r="Z35" s="27"/>
      <c r="AA35" s="34"/>
      <c r="AB35" s="34"/>
      <c r="AC35" s="34"/>
      <c r="AD35" s="2"/>
      <c r="AE35" s="2"/>
      <c r="AF35" s="2"/>
    </row>
    <row r="36" spans="1:32" ht="15.6">
      <c r="A36" s="26" t="str">
        <f ca="1">IFERROR(__xludf.DUMMYFUNCTION("""COMPUTED_VALUE"""),"過電壓保護裝置定期檢修")</f>
        <v>過電壓保護裝置定期檢修</v>
      </c>
      <c r="B36" s="28" t="str">
        <f ca="1">IFERROR(__xludf.DUMMYFUNCTION("""COMPUTED_VALUE"""),"過電壓保護裝置二年檢修1次")</f>
        <v>過電壓保護裝置二年檢修1次</v>
      </c>
      <c r="C36" s="29"/>
      <c r="D36" s="32">
        <f ca="1">IFERROR(__xludf.DUMMYFUNCTION("""COMPUTED_VALUE"""),8.2)</f>
        <v>8.1999999999999993</v>
      </c>
      <c r="E36" s="39">
        <f ca="1">IFERROR(__xludf.DUMMYFUNCTION("""COMPUTED_VALUE"""),0.4)</f>
        <v>0.4</v>
      </c>
      <c r="F36" s="34"/>
      <c r="G36" s="34"/>
      <c r="H36" s="16"/>
      <c r="I36" s="7" t="str">
        <f ca="1">IFERROR(__xludf.DUMMYFUNCTION("""COMPUTED_VALUE"""),"過電壓保護裝置一年檢修1次")</f>
        <v>過電壓保護裝置一年檢修1次</v>
      </c>
      <c r="J36" s="8">
        <f ca="1">IFERROR(__xludf.DUMMYFUNCTION("""COMPUTED_VALUE"""),8.5)</f>
        <v>8.5</v>
      </c>
      <c r="K36" s="2"/>
      <c r="L36" s="9"/>
      <c r="M36" s="2"/>
      <c r="N36" s="9"/>
      <c r="O36" s="2"/>
      <c r="P36" s="9"/>
      <c r="Q36" s="2"/>
      <c r="R36" s="9"/>
      <c r="S36" s="2"/>
      <c r="T36" s="9"/>
      <c r="U36" s="2"/>
      <c r="V36" s="9"/>
      <c r="W36" s="2"/>
      <c r="X36" s="9"/>
      <c r="Y36" s="2"/>
      <c r="Z36" s="9"/>
      <c r="AA36" s="34"/>
      <c r="AB36" s="34"/>
      <c r="AC36" s="34"/>
      <c r="AD36" s="2"/>
      <c r="AE36" s="2"/>
      <c r="AF36" s="2"/>
    </row>
    <row r="37" spans="1:32" ht="15.6">
      <c r="A37" s="34"/>
      <c r="B37" s="40"/>
      <c r="C37" s="41"/>
      <c r="D37" s="34"/>
      <c r="E37" s="34"/>
      <c r="F37" s="34"/>
      <c r="G37" s="34"/>
      <c r="H37" s="16"/>
      <c r="I37" s="7" t="str">
        <f ca="1">IFERROR(__xludf.DUMMYFUNCTION("""COMPUTED_VALUE"""),"過電壓保護裝置二年檢修1次")</f>
        <v>過電壓保護裝置二年檢修1次</v>
      </c>
      <c r="J37" s="8">
        <f ca="1">IFERROR(__xludf.DUMMYFUNCTION("""COMPUTED_VALUE"""),8.2)</f>
        <v>8.1999999999999993</v>
      </c>
      <c r="K37" s="2"/>
      <c r="L37" s="9"/>
      <c r="M37" s="2"/>
      <c r="N37" s="9"/>
      <c r="O37" s="2"/>
      <c r="P37" s="9"/>
      <c r="Q37" s="2"/>
      <c r="R37" s="9"/>
      <c r="S37" s="2"/>
      <c r="T37" s="9"/>
      <c r="U37" s="2"/>
      <c r="V37" s="9"/>
      <c r="W37" s="2"/>
      <c r="X37" s="9"/>
      <c r="Y37" s="2"/>
      <c r="Z37" s="9"/>
      <c r="AA37" s="34"/>
      <c r="AB37" s="34"/>
      <c r="AC37" s="34"/>
      <c r="AD37" s="2"/>
      <c r="AE37" s="2"/>
      <c r="AF37" s="2"/>
    </row>
    <row r="38" spans="1:32" ht="15.6">
      <c r="A38" s="27"/>
      <c r="B38" s="30"/>
      <c r="C38" s="31"/>
      <c r="D38" s="27"/>
      <c r="E38" s="27"/>
      <c r="F38" s="27"/>
      <c r="G38" s="27"/>
      <c r="H38" s="16"/>
      <c r="I38" s="7" t="str">
        <f ca="1">IFERROR(__xludf.DUMMYFUNCTION("""COMPUTED_VALUE"""),"過電壓保護裝置未定期檢修")</f>
        <v>過電壓保護裝置未定期檢修</v>
      </c>
      <c r="J38" s="8">
        <f ca="1">IFERROR(__xludf.DUMMYFUNCTION("""COMPUTED_VALUE"""),7.5)</f>
        <v>7.5</v>
      </c>
      <c r="K38" s="2"/>
      <c r="L38" s="9"/>
      <c r="M38" s="2"/>
      <c r="N38" s="9"/>
      <c r="O38" s="2"/>
      <c r="P38" s="9"/>
      <c r="Q38" s="2"/>
      <c r="R38" s="9"/>
      <c r="S38" s="2"/>
      <c r="T38" s="9"/>
      <c r="U38" s="2"/>
      <c r="V38" s="9"/>
      <c r="W38" s="2"/>
      <c r="X38" s="9"/>
      <c r="Y38" s="2"/>
      <c r="Z38" s="9"/>
      <c r="AA38" s="27"/>
      <c r="AB38" s="27"/>
      <c r="AC38" s="27"/>
      <c r="AD38" s="2"/>
      <c r="AE38" s="2"/>
      <c r="AF38" s="2"/>
    </row>
    <row r="39" spans="1:32" ht="15.6">
      <c r="A39" s="19" t="str">
        <f ca="1">IFERROR(__xludf.DUMMYFUNCTION("IMPORTRANGE(""https://docs.google.com/spreadsheets/d/1g3k-_bsDSgGx-LrtXVu_8pmZey8G_3GZEmdJXJYtcxo/edit?gid=253349796#gid=253349796"",""'F1-b1-1'!A1:AC11"")"),"充電電流設定不當 F1-b1-1(t)")</f>
        <v>充電電流設定不當 F1-b1-1(t)</v>
      </c>
      <c r="B39" s="20"/>
      <c r="C39" s="20"/>
      <c r="D39" s="20"/>
      <c r="E39" s="20"/>
      <c r="F39" s="20"/>
      <c r="G39" s="20"/>
      <c r="H39" s="1"/>
      <c r="I39" s="21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2"/>
      <c r="AA39" s="23"/>
      <c r="AB39" s="24"/>
      <c r="AC39" s="24"/>
      <c r="AD39" s="2"/>
      <c r="AE39" s="2"/>
      <c r="AF39" s="2"/>
    </row>
    <row r="40" spans="1:32" ht="46.8">
      <c r="A40" s="3" t="str">
        <f ca="1">IFERROR(__xludf.DUMMYFUNCTION("""COMPUTED_VALUE"""),"確保可靠度的手段")</f>
        <v>確保可靠度的手段</v>
      </c>
      <c r="B40" s="25" t="str">
        <f ca="1">IFERROR(__xludf.DUMMYFUNCTION("""COMPUTED_VALUE"""),"確證方式")</f>
        <v>確證方式</v>
      </c>
      <c r="C40" s="22"/>
      <c r="D40" s="3" t="str">
        <f ca="1">IFERROR(__xludf.DUMMYFUNCTION("""COMPUTED_VALUE"""),"得分")</f>
        <v>得分</v>
      </c>
      <c r="E40" s="3" t="str">
        <f ca="1">IFERROR(__xludf.DUMMYFUNCTION("""COMPUTED_VALUE"""),"權重")</f>
        <v>權重</v>
      </c>
      <c r="F40" s="3" t="str">
        <f ca="1">IFERROR(__xludf.DUMMYFUNCTION("""COMPUTED_VALUE"""),"可靠度概率")</f>
        <v>可靠度概率</v>
      </c>
      <c r="G40" s="18" t="str">
        <f ca="1">IFERROR(__xludf.DUMMYFUNCTION("""COMPUTED_VALUE"""),"F1-b1-1(t)")</f>
        <v>F1-b1-1(t)</v>
      </c>
      <c r="H40" s="4"/>
      <c r="I40" s="5" t="str">
        <f ca="1">IFERROR(__xludf.DUMMYFUNCTION("""COMPUTED_VALUE"""),"調查問項")</f>
        <v>調查問項</v>
      </c>
      <c r="J40" s="5" t="str">
        <f ca="1">IFERROR(__xludf.DUMMYFUNCTION("""COMPUTED_VALUE"""),"分項分數")</f>
        <v>分項分數</v>
      </c>
      <c r="K40" s="5" t="str">
        <f ca="1">IFERROR(__xludf.DUMMYFUNCTION("""COMPUTED_VALUE"""),"勾選組合")</f>
        <v>勾選組合</v>
      </c>
      <c r="L40" s="5" t="str">
        <f ca="1">IFERROR(__xludf.DUMMYFUNCTION("""COMPUTED_VALUE"""),"得分")</f>
        <v>得分</v>
      </c>
      <c r="M40" s="5" t="str">
        <f ca="1">IFERROR(__xludf.DUMMYFUNCTION("""COMPUTED_VALUE"""),"勾選組合")</f>
        <v>勾選組合</v>
      </c>
      <c r="N40" s="5" t="str">
        <f ca="1">IFERROR(__xludf.DUMMYFUNCTION("""COMPUTED_VALUE"""),"得分")</f>
        <v>得分</v>
      </c>
      <c r="O40" s="5" t="str">
        <f ca="1">IFERROR(__xludf.DUMMYFUNCTION("""COMPUTED_VALUE"""),"勾選組合")</f>
        <v>勾選組合</v>
      </c>
      <c r="P40" s="5" t="str">
        <f ca="1">IFERROR(__xludf.DUMMYFUNCTION("""COMPUTED_VALUE"""),"得分")</f>
        <v>得分</v>
      </c>
      <c r="Q40" s="5" t="str">
        <f ca="1">IFERROR(__xludf.DUMMYFUNCTION("""COMPUTED_VALUE"""),"勾選組合")</f>
        <v>勾選組合</v>
      </c>
      <c r="R40" s="5" t="str">
        <f ca="1">IFERROR(__xludf.DUMMYFUNCTION("""COMPUTED_VALUE"""),"得分")</f>
        <v>得分</v>
      </c>
      <c r="S40" s="5" t="str">
        <f ca="1">IFERROR(__xludf.DUMMYFUNCTION("""COMPUTED_VALUE"""),"勾選組合")</f>
        <v>勾選組合</v>
      </c>
      <c r="T40" s="5" t="str">
        <f ca="1">IFERROR(__xludf.DUMMYFUNCTION("""COMPUTED_VALUE"""),"得分")</f>
        <v>得分</v>
      </c>
      <c r="U40" s="5" t="str">
        <f ca="1">IFERROR(__xludf.DUMMYFUNCTION("""COMPUTED_VALUE"""),"勾選組合")</f>
        <v>勾選組合</v>
      </c>
      <c r="V40" s="5" t="str">
        <f ca="1">IFERROR(__xludf.DUMMYFUNCTION("""COMPUTED_VALUE"""),"得分")</f>
        <v>得分</v>
      </c>
      <c r="W40" s="5" t="str">
        <f ca="1">IFERROR(__xludf.DUMMYFUNCTION("""COMPUTED_VALUE"""),"勾選組合")</f>
        <v>勾選組合</v>
      </c>
      <c r="X40" s="5" t="str">
        <f ca="1">IFERROR(__xludf.DUMMYFUNCTION("""COMPUTED_VALUE"""),"得分")</f>
        <v>得分</v>
      </c>
      <c r="Y40" s="5" t="str">
        <f ca="1">IFERROR(__xludf.DUMMYFUNCTION("""COMPUTED_VALUE"""),"勾選組合")</f>
        <v>勾選組合</v>
      </c>
      <c r="Z40" s="5" t="str">
        <f ca="1">IFERROR(__xludf.DUMMYFUNCTION("""COMPUTED_VALUE"""),"得分")</f>
        <v>得分</v>
      </c>
      <c r="AA40" s="25" t="str">
        <f ca="1">IFERROR(__xludf.DUMMYFUNCTION("""COMPUTED_VALUE"""),"F1-b1-1(t)")</f>
        <v>F1-b1-1(t)</v>
      </c>
      <c r="AB40" s="20"/>
      <c r="AC40" s="22"/>
      <c r="AD40" s="2"/>
      <c r="AE40" s="2"/>
      <c r="AF40" s="2"/>
    </row>
    <row r="41" spans="1:32" ht="15.6">
      <c r="A41" s="26" t="str">
        <f ca="1">IFERROR(__xludf.DUMMYFUNCTION("""COMPUTED_VALUE"""),"符合規定的充電電流設定")</f>
        <v>符合規定的充電電流設定</v>
      </c>
      <c r="B41" s="28" t="str">
        <f ca="1">IFERROR(__xludf.DUMMYFUNCTION("""COMPUTED_VALUE"""),"經由第三方查核確認")</f>
        <v>經由第三方查核確認</v>
      </c>
      <c r="C41" s="29"/>
      <c r="D41" s="32">
        <f ca="1">IFERROR(__xludf.DUMMYFUNCTION("""COMPUTED_VALUE"""),8.5)</f>
        <v>8.5</v>
      </c>
      <c r="E41" s="39">
        <f ca="1">IFERROR(__xludf.DUMMYFUNCTION("""COMPUTED_VALUE"""),0.25)</f>
        <v>0.25</v>
      </c>
      <c r="F41" s="38">
        <f ca="1">IFERROR(__xludf.DUMMYFUNCTION("""COMPUTED_VALUE"""),0.8835)</f>
        <v>0.88349999999999995</v>
      </c>
      <c r="G41" s="38">
        <f ca="1">IFERROR(__xludf.DUMMYFUNCTION("""COMPUTED_VALUE"""),0.1165)</f>
        <v>0.11650000000000001</v>
      </c>
      <c r="H41" s="6"/>
      <c r="I41" s="7" t="str">
        <f ca="1">IFERROR(__xludf.DUMMYFUNCTION("""COMPUTED_VALUE"""),"經由第三方查核確認")</f>
        <v>經由第三方查核確認</v>
      </c>
      <c r="J41" s="8">
        <f ca="1">IFERROR(__xludf.DUMMYFUNCTION("""COMPUTED_VALUE"""),8.5)</f>
        <v>8.5</v>
      </c>
      <c r="K41" s="2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7">
        <f ca="1">IFERROR(__xludf.DUMMYFUNCTION("""COMPUTED_VALUE"""),0.110675)</f>
        <v>0.110675</v>
      </c>
      <c r="AB41" s="37">
        <f ca="1">IFERROR(__xludf.DUMMYFUNCTION("""COMPUTED_VALUE"""),0.1165)</f>
        <v>0.11650000000000001</v>
      </c>
      <c r="AC41" s="37">
        <f ca="1">IFERROR(__xludf.DUMMYFUNCTION("""COMPUTED_VALUE"""),0.122325)</f>
        <v>0.122325</v>
      </c>
      <c r="AD41" s="2"/>
      <c r="AE41" s="2"/>
      <c r="AF41" s="2"/>
    </row>
    <row r="42" spans="1:32" ht="15.6">
      <c r="A42" s="27"/>
      <c r="B42" s="30"/>
      <c r="C42" s="31"/>
      <c r="D42" s="27"/>
      <c r="E42" s="27"/>
      <c r="F42" s="34"/>
      <c r="G42" s="34"/>
      <c r="H42" s="6"/>
      <c r="I42" s="7" t="str">
        <f ca="1">IFERROR(__xludf.DUMMYFUNCTION("""COMPUTED_VALUE"""),"未經由第三方查核確認")</f>
        <v>未經由第三方查核確認</v>
      </c>
      <c r="J42" s="8">
        <f ca="1">IFERROR(__xludf.DUMMYFUNCTION("""COMPUTED_VALUE"""),7.5)</f>
        <v>7.5</v>
      </c>
      <c r="K42" s="2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4"/>
      <c r="AB42" s="34"/>
      <c r="AC42" s="34"/>
      <c r="AD42" s="2"/>
      <c r="AE42" s="2"/>
      <c r="AF42" s="2"/>
    </row>
    <row r="43" spans="1:32" ht="15.6">
      <c r="A43" s="36" t="str">
        <f ca="1">IFERROR(__xludf.DUMMYFUNCTION("""COMPUTED_VALUE"""),"充電電流受到遠端監控")</f>
        <v>充電電流受到遠端監控</v>
      </c>
      <c r="B43" s="10" t="b">
        <f ca="1">IFERROR(__xludf.DUMMYFUNCTION("""COMPUTED_VALUE"""),TRUE)</f>
        <v>1</v>
      </c>
      <c r="C43" s="11" t="str">
        <f ca="1">IFERROR(__xludf.DUMMYFUNCTION("""COMPUTED_VALUE"""),"模組充電電流受到遠端監控")</f>
        <v>模組充電電流受到遠端監控</v>
      </c>
      <c r="D43" s="33">
        <f ca="1">IFERROR(__xludf.DUMMYFUNCTION("""COMPUTED_VALUE"""),9)</f>
        <v>9</v>
      </c>
      <c r="E43" s="35">
        <f ca="1">IFERROR(__xludf.DUMMYFUNCTION("""COMPUTED_VALUE"""),0.25)</f>
        <v>0.25</v>
      </c>
      <c r="F43" s="34"/>
      <c r="G43" s="34"/>
      <c r="H43" s="6"/>
      <c r="I43" s="11" t="str">
        <f ca="1">IFERROR(__xludf.DUMMYFUNCTION("""COMPUTED_VALUE"""),"模組充電電流受到遠端監控")</f>
        <v>模組充電電流受到遠端監控</v>
      </c>
      <c r="J43" s="12">
        <f ca="1">IFERROR(__xludf.DUMMYFUNCTION("""COMPUTED_VALUE"""),8.5)</f>
        <v>8.5</v>
      </c>
      <c r="K43" s="13" t="b">
        <f ca="1">IFERROR(__xludf.DUMMYFUNCTION("""COMPUTED_VALUE"""),TRUE)</f>
        <v>1</v>
      </c>
      <c r="L43" s="33">
        <f ca="1">IFERROR(__xludf.DUMMYFUNCTION("""COMPUTED_VALUE"""),9)</f>
        <v>9</v>
      </c>
      <c r="M43" s="13" t="b">
        <f ca="1">IFERROR(__xludf.DUMMYFUNCTION("""COMPUTED_VALUE"""),FALSE)</f>
        <v>0</v>
      </c>
      <c r="N43" s="33">
        <f ca="1">IFERROR(__xludf.DUMMYFUNCTION("""COMPUTED_VALUE"""),7.8)</f>
        <v>7.8</v>
      </c>
      <c r="O43" s="13" t="b">
        <f ca="1">IFERROR(__xludf.DUMMYFUNCTION("""COMPUTED_VALUE"""),TRUE)</f>
        <v>1</v>
      </c>
      <c r="P43" s="33">
        <f ca="1">IFERROR(__xludf.DUMMYFUNCTION("""COMPUTED_VALUE"""),8.5)</f>
        <v>8.5</v>
      </c>
      <c r="Q43" s="13" t="b">
        <f ca="1">IFERROR(__xludf.DUMMYFUNCTION("""COMPUTED_VALUE"""),FALSE)</f>
        <v>0</v>
      </c>
      <c r="R43" s="33">
        <f ca="1">IFERROR(__xludf.DUMMYFUNCTION("""COMPUTED_VALUE"""),8.5)</f>
        <v>8.5</v>
      </c>
      <c r="S43" s="2"/>
      <c r="T43" s="2"/>
      <c r="U43" s="2"/>
      <c r="V43" s="2"/>
      <c r="W43" s="2"/>
      <c r="X43" s="2"/>
      <c r="Y43" s="2"/>
      <c r="Z43" s="2"/>
      <c r="AA43" s="34"/>
      <c r="AB43" s="34"/>
      <c r="AC43" s="34"/>
      <c r="AD43" s="2"/>
      <c r="AE43" s="2"/>
      <c r="AF43" s="2"/>
    </row>
    <row r="44" spans="1:32" ht="15.6">
      <c r="A44" s="27"/>
      <c r="B44" s="10" t="b">
        <f ca="1">IFERROR(__xludf.DUMMYFUNCTION("""COMPUTED_VALUE"""),TRUE)</f>
        <v>1</v>
      </c>
      <c r="C44" s="11" t="str">
        <f ca="1">IFERROR(__xludf.DUMMYFUNCTION("""COMPUTED_VALUE"""),"機櫃充電電流受到遠端監控")</f>
        <v>機櫃充電電流受到遠端監控</v>
      </c>
      <c r="D44" s="27"/>
      <c r="E44" s="27"/>
      <c r="F44" s="34"/>
      <c r="G44" s="34"/>
      <c r="H44" s="6"/>
      <c r="I44" s="11" t="str">
        <f ca="1">IFERROR(__xludf.DUMMYFUNCTION("""COMPUTED_VALUE"""),"機櫃充電電流受到遠端監控")</f>
        <v>機櫃充電電流受到遠端監控</v>
      </c>
      <c r="J44" s="12">
        <f ca="1">IFERROR(__xludf.DUMMYFUNCTION("""COMPUTED_VALUE"""),8.5)</f>
        <v>8.5</v>
      </c>
      <c r="K44" s="14" t="b">
        <f ca="1">IFERROR(__xludf.DUMMYFUNCTION("""COMPUTED_VALUE"""),TRUE)</f>
        <v>1</v>
      </c>
      <c r="L44" s="27"/>
      <c r="M44" s="14" t="b">
        <f ca="1">IFERROR(__xludf.DUMMYFUNCTION("""COMPUTED_VALUE"""),FALSE)</f>
        <v>0</v>
      </c>
      <c r="N44" s="27"/>
      <c r="O44" s="14" t="b">
        <f ca="1">IFERROR(__xludf.DUMMYFUNCTION("""COMPUTED_VALUE"""),FALSE)</f>
        <v>0</v>
      </c>
      <c r="P44" s="27"/>
      <c r="Q44" s="14" t="b">
        <f ca="1">IFERROR(__xludf.DUMMYFUNCTION("""COMPUTED_VALUE"""),TRUE)</f>
        <v>1</v>
      </c>
      <c r="R44" s="27"/>
      <c r="S44" s="2"/>
      <c r="T44" s="2"/>
      <c r="U44" s="2"/>
      <c r="V44" s="2"/>
      <c r="W44" s="2"/>
      <c r="X44" s="2"/>
      <c r="Y44" s="2"/>
      <c r="Z44" s="2"/>
      <c r="AA44" s="34"/>
      <c r="AB44" s="34"/>
      <c r="AC44" s="34"/>
      <c r="AD44" s="2"/>
      <c r="AE44" s="2"/>
      <c r="AF44" s="2"/>
    </row>
    <row r="45" spans="1:32" ht="62.4">
      <c r="A45" s="36" t="str">
        <f ca="1">IFERROR(__xludf.DUMMYFUNCTION("""COMPUTED_VALUE"""),"充電電流異常發出警告訊號")</f>
        <v>充電電流異常發出警告訊號</v>
      </c>
      <c r="B45" s="10" t="b">
        <f ca="1">IFERROR(__xludf.DUMMYFUNCTION("""COMPUTED_VALUE"""),FALSE)</f>
        <v>0</v>
      </c>
      <c r="C45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45" s="33">
        <f ca="1">IFERROR(__xludf.DUMMYFUNCTION("""COMPUTED_VALUE"""),9)</f>
        <v>9</v>
      </c>
      <c r="E45" s="35">
        <f ca="1">IFERROR(__xludf.DUMMYFUNCTION("""COMPUTED_VALUE"""),0.4)</f>
        <v>0.4</v>
      </c>
      <c r="F45" s="34"/>
      <c r="G45" s="34"/>
      <c r="H45" s="6"/>
      <c r="I45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45" s="12">
        <f ca="1">IFERROR(__xludf.DUMMYFUNCTION("""COMPUTED_VALUE"""),8.8)</f>
        <v>8.8000000000000007</v>
      </c>
      <c r="K45" s="13" t="b">
        <f ca="1">IFERROR(__xludf.DUMMYFUNCTION("""COMPUTED_VALUE"""),TRUE)</f>
        <v>1</v>
      </c>
      <c r="L45" s="33">
        <f ca="1">IFERROR(__xludf.DUMMYFUNCTION("""COMPUTED_VALUE"""),9.2)</f>
        <v>9.1999999999999993</v>
      </c>
      <c r="M45" s="13" t="b">
        <f ca="1">IFERROR(__xludf.DUMMYFUNCTION("""COMPUTED_VALUE"""),FALSE)</f>
        <v>0</v>
      </c>
      <c r="N45" s="33">
        <f ca="1">IFERROR(__xludf.DUMMYFUNCTION("""COMPUTED_VALUE"""),7.6)</f>
        <v>7.6</v>
      </c>
      <c r="O45" s="13" t="b">
        <f ca="1">IFERROR(__xludf.DUMMYFUNCTION("""COMPUTED_VALUE"""),TRUE)</f>
        <v>1</v>
      </c>
      <c r="P45" s="33">
        <f ca="1">IFERROR(__xludf.DUMMYFUNCTION("""COMPUTED_VALUE"""),9)</f>
        <v>9</v>
      </c>
      <c r="Q45" s="13" t="b">
        <f ca="1">IFERROR(__xludf.DUMMYFUNCTION("""COMPUTED_VALUE"""),FALSE)</f>
        <v>0</v>
      </c>
      <c r="R45" s="33">
        <f ca="1">IFERROR(__xludf.DUMMYFUNCTION("""COMPUTED_VALUE"""),9)</f>
        <v>9</v>
      </c>
      <c r="S45" s="13" t="b">
        <f ca="1">IFERROR(__xludf.DUMMYFUNCTION("""COMPUTED_VALUE"""),TRUE)</f>
        <v>1</v>
      </c>
      <c r="T45" s="33">
        <f ca="1">IFERROR(__xludf.DUMMYFUNCTION("""COMPUTED_VALUE"""),9)</f>
        <v>9</v>
      </c>
      <c r="U45" s="13" t="b">
        <f ca="1">IFERROR(__xludf.DUMMYFUNCTION("""COMPUTED_VALUE"""),TRUE)</f>
        <v>1</v>
      </c>
      <c r="V45" s="33">
        <f ca="1">IFERROR(__xludf.DUMMYFUNCTION("""COMPUTED_VALUE"""),8.8)</f>
        <v>8.8000000000000007</v>
      </c>
      <c r="W45" s="13" t="b">
        <f ca="1">IFERROR(__xludf.DUMMYFUNCTION("""COMPUTED_VALUE"""),FALSE)</f>
        <v>0</v>
      </c>
      <c r="X45" s="33">
        <f ca="1">IFERROR(__xludf.DUMMYFUNCTION("""COMPUTED_VALUE"""),8.5)</f>
        <v>8.5</v>
      </c>
      <c r="Y45" s="13" t="b">
        <f ca="1">IFERROR(__xludf.DUMMYFUNCTION("""COMPUTED_VALUE"""),FALSE)</f>
        <v>0</v>
      </c>
      <c r="Z45" s="33">
        <f ca="1">IFERROR(__xludf.DUMMYFUNCTION("""COMPUTED_VALUE"""),8.5)</f>
        <v>8.5</v>
      </c>
      <c r="AA45" s="34"/>
      <c r="AB45" s="34"/>
      <c r="AC45" s="34"/>
      <c r="AD45" s="2"/>
      <c r="AE45" s="2"/>
      <c r="AF45" s="2"/>
    </row>
    <row r="46" spans="1:32" ht="31.2">
      <c r="A46" s="34"/>
      <c r="B46" s="10" t="b">
        <f ca="1">IFERROR(__xludf.DUMMYFUNCTION("""COMPUTED_VALUE"""),TRUE)</f>
        <v>1</v>
      </c>
      <c r="C46" s="11" t="str">
        <f ca="1">IFERROR(__xludf.DUMMYFUNCTION("""COMPUTED_VALUE"""),"BMS通過Test Report - IEC 60730-1 - Annex H測試")</f>
        <v>BMS通過Test Report - IEC 60730-1 - Annex H測試</v>
      </c>
      <c r="D46" s="34"/>
      <c r="E46" s="34"/>
      <c r="F46" s="34"/>
      <c r="G46" s="34"/>
      <c r="H46" s="6"/>
      <c r="I46" s="11" t="str">
        <f ca="1">IFERROR(__xludf.DUMMYFUNCTION("""COMPUTED_VALUE"""),"BMS通過Test Report - IEC 60730-1 - Annex H測試")</f>
        <v>BMS通過Test Report - IEC 60730-1 - Annex H測試</v>
      </c>
      <c r="J46" s="12">
        <f ca="1">IFERROR(__xludf.DUMMYFUNCTION("""COMPUTED_VALUE"""),8.5)</f>
        <v>8.5</v>
      </c>
      <c r="K46" s="14" t="b">
        <f ca="1">IFERROR(__xludf.DUMMYFUNCTION("""COMPUTED_VALUE"""),TRUE)</f>
        <v>1</v>
      </c>
      <c r="L46" s="34"/>
      <c r="M46" s="14" t="b">
        <f ca="1">IFERROR(__xludf.DUMMYFUNCTION("""COMPUTED_VALUE"""),FALSE)</f>
        <v>0</v>
      </c>
      <c r="N46" s="34"/>
      <c r="O46" s="14" t="b">
        <f ca="1">IFERROR(__xludf.DUMMYFUNCTION("""COMPUTED_VALUE"""),TRUE)</f>
        <v>1</v>
      </c>
      <c r="P46" s="34"/>
      <c r="Q46" s="14" t="b">
        <f ca="1">IFERROR(__xludf.DUMMYFUNCTION("""COMPUTED_VALUE"""),TRUE)</f>
        <v>1</v>
      </c>
      <c r="R46" s="34"/>
      <c r="S46" s="14" t="b">
        <f ca="1">IFERROR(__xludf.DUMMYFUNCTION("""COMPUTED_VALUE"""),FALSE)</f>
        <v>0</v>
      </c>
      <c r="T46" s="34"/>
      <c r="U46" s="14" t="b">
        <f ca="1">IFERROR(__xludf.DUMMYFUNCTION("""COMPUTED_VALUE"""),FALSE)</f>
        <v>0</v>
      </c>
      <c r="V46" s="34"/>
      <c r="W46" s="14" t="b">
        <f ca="1">IFERROR(__xludf.DUMMYFUNCTION("""COMPUTED_VALUE"""),TRUE)</f>
        <v>1</v>
      </c>
      <c r="X46" s="34"/>
      <c r="Y46" s="14" t="b">
        <f ca="1">IFERROR(__xludf.DUMMYFUNCTION("""COMPUTED_VALUE"""),FALSE)</f>
        <v>0</v>
      </c>
      <c r="Z46" s="34"/>
      <c r="AA46" s="34"/>
      <c r="AB46" s="34"/>
      <c r="AC46" s="34"/>
      <c r="AD46" s="2"/>
      <c r="AE46" s="2"/>
      <c r="AF46" s="2"/>
    </row>
    <row r="47" spans="1:32" ht="31.2">
      <c r="A47" s="27"/>
      <c r="B47" s="10" t="b">
        <f ca="1">IFERROR(__xludf.DUMMYFUNCTION("""COMPUTED_VALUE"""),TRUE)</f>
        <v>1</v>
      </c>
      <c r="C47" s="11" t="str">
        <f ca="1">IFERROR(__xludf.DUMMYFUNCTION("""COMPUTED_VALUE"""),"異常訊號可同時通知現場及遠端管理人員")</f>
        <v>異常訊號可同時通知現場及遠端管理人員</v>
      </c>
      <c r="D47" s="27"/>
      <c r="E47" s="27"/>
      <c r="F47" s="34"/>
      <c r="G47" s="34"/>
      <c r="H47" s="6"/>
      <c r="I47" s="11" t="str">
        <f ca="1">IFERROR(__xludf.DUMMYFUNCTION("""COMPUTED_VALUE"""),"異常訊號可同時通知現場及遠端管理人員")</f>
        <v>異常訊號可同時通知現場及遠端管理人員</v>
      </c>
      <c r="J47" s="12">
        <f ca="1">IFERROR(__xludf.DUMMYFUNCTION("""COMPUTED_VALUE"""),8.5)</f>
        <v>8.5</v>
      </c>
      <c r="K47" s="13" t="b">
        <f ca="1">IFERROR(__xludf.DUMMYFUNCTION("""COMPUTED_VALUE"""),TRUE)</f>
        <v>1</v>
      </c>
      <c r="L47" s="27"/>
      <c r="M47" s="13" t="b">
        <f ca="1">IFERROR(__xludf.DUMMYFUNCTION("""COMPUTED_VALUE"""),FALSE)</f>
        <v>0</v>
      </c>
      <c r="N47" s="27"/>
      <c r="O47" s="13" t="b">
        <f ca="1">IFERROR(__xludf.DUMMYFUNCTION("""COMPUTED_VALUE"""),FALSE)</f>
        <v>0</v>
      </c>
      <c r="P47" s="27"/>
      <c r="Q47" s="13" t="b">
        <f ca="1">IFERROR(__xludf.DUMMYFUNCTION("""COMPUTED_VALUE"""),TRUE)</f>
        <v>1</v>
      </c>
      <c r="R47" s="27"/>
      <c r="S47" s="13" t="b">
        <f ca="1">IFERROR(__xludf.DUMMYFUNCTION("""COMPUTED_VALUE"""),TRUE)</f>
        <v>1</v>
      </c>
      <c r="T47" s="27"/>
      <c r="U47" s="13" t="b">
        <f ca="1">IFERROR(__xludf.DUMMYFUNCTION("""COMPUTED_VALUE"""),FALSE)</f>
        <v>0</v>
      </c>
      <c r="V47" s="27"/>
      <c r="W47" s="13" t="b">
        <f ca="1">IFERROR(__xludf.DUMMYFUNCTION("""COMPUTED_VALUE"""),FALSE)</f>
        <v>0</v>
      </c>
      <c r="X47" s="27"/>
      <c r="Y47" s="13" t="b">
        <f ca="1">IFERROR(__xludf.DUMMYFUNCTION("""COMPUTED_VALUE"""),TRUE)</f>
        <v>1</v>
      </c>
      <c r="Z47" s="27"/>
      <c r="AA47" s="34"/>
      <c r="AB47" s="34"/>
      <c r="AC47" s="34"/>
      <c r="AD47" s="2"/>
      <c r="AE47" s="2"/>
      <c r="AF47" s="2"/>
    </row>
    <row r="48" spans="1:32" ht="15.6">
      <c r="A48" s="26" t="str">
        <f ca="1">IFERROR(__xludf.DUMMYFUNCTION("""COMPUTED_VALUE"""),"充電電流的歷史紀錄")</f>
        <v>充電電流的歷史紀錄</v>
      </c>
      <c r="B48" s="28" t="str">
        <f ca="1">IFERROR(__xludf.DUMMYFUNCTION("""COMPUTED_VALUE"""),"歷史紀錄保存完整")</f>
        <v>歷史紀錄保存完整</v>
      </c>
      <c r="C48" s="29"/>
      <c r="D48" s="32">
        <f ca="1">IFERROR(__xludf.DUMMYFUNCTION("""COMPUTED_VALUE"""),8.6)</f>
        <v>8.6</v>
      </c>
      <c r="E48" s="39">
        <f ca="1">IFERROR(__xludf.DUMMYFUNCTION("""COMPUTED_VALUE"""),0.1)</f>
        <v>0.1</v>
      </c>
      <c r="F48" s="34"/>
      <c r="G48" s="34"/>
      <c r="H48" s="6"/>
      <c r="I48" s="7" t="str">
        <f ca="1">IFERROR(__xludf.DUMMYFUNCTION("""COMPUTED_VALUE"""),"歷史紀錄保存完整")</f>
        <v>歷史紀錄保存完整</v>
      </c>
      <c r="J48" s="8">
        <f ca="1">IFERROR(__xludf.DUMMYFUNCTION("""COMPUTED_VALUE"""),8.6)</f>
        <v>8.6</v>
      </c>
      <c r="K48" s="2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4"/>
      <c r="AB48" s="34"/>
      <c r="AC48" s="34"/>
      <c r="AD48" s="2"/>
      <c r="AE48" s="2"/>
      <c r="AF48" s="2"/>
    </row>
    <row r="49" spans="1:32" ht="15.6">
      <c r="A49" s="27"/>
      <c r="B49" s="30"/>
      <c r="C49" s="31"/>
      <c r="D49" s="27"/>
      <c r="E49" s="27"/>
      <c r="F49" s="27"/>
      <c r="G49" s="27"/>
      <c r="H49" s="6"/>
      <c r="I49" s="7" t="str">
        <f ca="1">IFERROR(__xludf.DUMMYFUNCTION("""COMPUTED_VALUE"""),"歷史紀錄未保存完整")</f>
        <v>歷史紀錄未保存完整</v>
      </c>
      <c r="J49" s="8">
        <f ca="1">IFERROR(__xludf.DUMMYFUNCTION("""COMPUTED_VALUE"""),7.8)</f>
        <v>7.8</v>
      </c>
      <c r="K49" s="2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7"/>
      <c r="AB49" s="27"/>
      <c r="AC49" s="27"/>
      <c r="AD49" s="2"/>
      <c r="AE49" s="2"/>
      <c r="AF49" s="2"/>
    </row>
    <row r="50" spans="1:32" ht="15.6">
      <c r="A50" s="19" t="str">
        <f ca="1">IFERROR(__xludf.DUMMYFUNCTION("IMPORTRANGE(""https://docs.google.com/spreadsheets/d/1g3k-_bsDSgGx-LrtXVu_8pmZey8G_3GZEmdJXJYtcxo/edit?gid=1211142183#gid=1211142183"",""'F1-b1-2'!A1:AC10"")"),"充電電流控制器故障 F1-b1-2(t)")</f>
        <v>充電電流控制器故障 F1-b1-2(t)</v>
      </c>
      <c r="B50" s="20"/>
      <c r="C50" s="20"/>
      <c r="D50" s="20"/>
      <c r="E50" s="20"/>
      <c r="F50" s="20"/>
      <c r="G50" s="20"/>
      <c r="H50" s="1"/>
      <c r="I50" s="21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2"/>
      <c r="AA50" s="23"/>
      <c r="AB50" s="24"/>
      <c r="AC50" s="24"/>
      <c r="AD50" s="2"/>
      <c r="AE50" s="2"/>
      <c r="AF50" s="2"/>
    </row>
    <row r="51" spans="1:32" ht="46.8">
      <c r="A51" s="3" t="str">
        <f ca="1">IFERROR(__xludf.DUMMYFUNCTION("""COMPUTED_VALUE"""),"確保可靠度的手段")</f>
        <v>確保可靠度的手段</v>
      </c>
      <c r="B51" s="25" t="str">
        <f ca="1">IFERROR(__xludf.DUMMYFUNCTION("""COMPUTED_VALUE"""),"確證方式")</f>
        <v>確證方式</v>
      </c>
      <c r="C51" s="22"/>
      <c r="D51" s="3" t="str">
        <f ca="1">IFERROR(__xludf.DUMMYFUNCTION("""COMPUTED_VALUE"""),"得分")</f>
        <v>得分</v>
      </c>
      <c r="E51" s="3" t="str">
        <f ca="1">IFERROR(__xludf.DUMMYFUNCTION("""COMPUTED_VALUE"""),"權重")</f>
        <v>權重</v>
      </c>
      <c r="F51" s="3" t="str">
        <f ca="1">IFERROR(__xludf.DUMMYFUNCTION("""COMPUTED_VALUE"""),"可靠度
 概率")</f>
        <v>可靠度
 概率</v>
      </c>
      <c r="G51" s="3" t="str">
        <f ca="1">IFERROR(__xludf.DUMMYFUNCTION("""COMPUTED_VALUE"""),"F1-b1-2")</f>
        <v>F1-b1-2</v>
      </c>
      <c r="H51" s="4"/>
      <c r="I51" s="5" t="str">
        <f ca="1">IFERROR(__xludf.DUMMYFUNCTION("""COMPUTED_VALUE"""),"調查問項")</f>
        <v>調查問項</v>
      </c>
      <c r="J51" s="5" t="str">
        <f ca="1">IFERROR(__xludf.DUMMYFUNCTION("""COMPUTED_VALUE"""),"分項分數")</f>
        <v>分項分數</v>
      </c>
      <c r="K51" s="5" t="str">
        <f ca="1">IFERROR(__xludf.DUMMYFUNCTION("""COMPUTED_VALUE"""),"勾選組合")</f>
        <v>勾選組合</v>
      </c>
      <c r="L51" s="5" t="str">
        <f ca="1">IFERROR(__xludf.DUMMYFUNCTION("""COMPUTED_VALUE"""),"得分")</f>
        <v>得分</v>
      </c>
      <c r="M51" s="5" t="str">
        <f ca="1">IFERROR(__xludf.DUMMYFUNCTION("""COMPUTED_VALUE"""),"勾選組合")</f>
        <v>勾選組合</v>
      </c>
      <c r="N51" s="5" t="str">
        <f ca="1">IFERROR(__xludf.DUMMYFUNCTION("""COMPUTED_VALUE"""),"得分")</f>
        <v>得分</v>
      </c>
      <c r="O51" s="5" t="str">
        <f ca="1">IFERROR(__xludf.DUMMYFUNCTION("""COMPUTED_VALUE"""),"勾選組合")</f>
        <v>勾選組合</v>
      </c>
      <c r="P51" s="5" t="str">
        <f ca="1">IFERROR(__xludf.DUMMYFUNCTION("""COMPUTED_VALUE"""),"得分")</f>
        <v>得分</v>
      </c>
      <c r="Q51" s="5" t="str">
        <f ca="1">IFERROR(__xludf.DUMMYFUNCTION("""COMPUTED_VALUE"""),"勾選組合")</f>
        <v>勾選組合</v>
      </c>
      <c r="R51" s="5" t="str">
        <f ca="1">IFERROR(__xludf.DUMMYFUNCTION("""COMPUTED_VALUE"""),"得分")</f>
        <v>得分</v>
      </c>
      <c r="S51" s="5" t="str">
        <f ca="1">IFERROR(__xludf.DUMMYFUNCTION("""COMPUTED_VALUE"""),"勾選組合")</f>
        <v>勾選組合</v>
      </c>
      <c r="T51" s="5" t="str">
        <f ca="1">IFERROR(__xludf.DUMMYFUNCTION("""COMPUTED_VALUE"""),"得分")</f>
        <v>得分</v>
      </c>
      <c r="U51" s="5" t="str">
        <f ca="1">IFERROR(__xludf.DUMMYFUNCTION("""COMPUTED_VALUE"""),"勾選組合")</f>
        <v>勾選組合</v>
      </c>
      <c r="V51" s="5" t="str">
        <f ca="1">IFERROR(__xludf.DUMMYFUNCTION("""COMPUTED_VALUE"""),"得分")</f>
        <v>得分</v>
      </c>
      <c r="W51" s="5" t="str">
        <f ca="1">IFERROR(__xludf.DUMMYFUNCTION("""COMPUTED_VALUE"""),"勾選組合")</f>
        <v>勾選組合</v>
      </c>
      <c r="X51" s="5" t="str">
        <f ca="1">IFERROR(__xludf.DUMMYFUNCTION("""COMPUTED_VALUE"""),"得分")</f>
        <v>得分</v>
      </c>
      <c r="Y51" s="5" t="str">
        <f ca="1">IFERROR(__xludf.DUMMYFUNCTION("""COMPUTED_VALUE"""),"勾選組合")</f>
        <v>勾選組合</v>
      </c>
      <c r="Z51" s="5" t="str">
        <f ca="1">IFERROR(__xludf.DUMMYFUNCTION("""COMPUTED_VALUE"""),"得分")</f>
        <v>得分</v>
      </c>
      <c r="AA51" s="25" t="str">
        <f ca="1">IFERROR(__xludf.DUMMYFUNCTION("""COMPUTED_VALUE"""),"F1-b1-2")</f>
        <v>F1-b1-2</v>
      </c>
      <c r="AB51" s="20"/>
      <c r="AC51" s="22"/>
      <c r="AD51" s="2"/>
      <c r="AE51" s="2"/>
      <c r="AF51" s="2"/>
    </row>
    <row r="52" spans="1:32" ht="15.6">
      <c r="A52" s="36" t="str">
        <f ca="1">IFERROR(__xludf.DUMMYFUNCTION("""COMPUTED_VALUE"""),"充電電流控制器通過認證")</f>
        <v>充電電流控制器通過認證</v>
      </c>
      <c r="B52" s="10" t="b">
        <f ca="1">IFERROR(__xludf.DUMMYFUNCTION("""COMPUTED_VALUE"""),TRUE)</f>
        <v>1</v>
      </c>
      <c r="C52" s="11" t="str">
        <f ca="1">IFERROR(__xludf.DUMMYFUNCTION("""COMPUTED_VALUE"""),"取得 UL 1973 認證證書")</f>
        <v>取得 UL 1973 認證證書</v>
      </c>
      <c r="D52" s="33">
        <f ca="1">IFERROR(__xludf.DUMMYFUNCTION("""COMPUTED_VALUE"""),9.2)</f>
        <v>9.1999999999999993</v>
      </c>
      <c r="E52" s="35">
        <f ca="1">IFERROR(__xludf.DUMMYFUNCTION("""COMPUTED_VALUE"""),0.4)</f>
        <v>0.4</v>
      </c>
      <c r="F52" s="38">
        <f ca="1">IFERROR(__xludf.DUMMYFUNCTION("""COMPUTED_VALUE"""),0.871999999999999)</f>
        <v>0.871999999999999</v>
      </c>
      <c r="G52" s="38">
        <f ca="1">IFERROR(__xludf.DUMMYFUNCTION("""COMPUTED_VALUE"""),0.128)</f>
        <v>0.128</v>
      </c>
      <c r="H52" s="6"/>
      <c r="I52" s="11" t="str">
        <f ca="1">IFERROR(__xludf.DUMMYFUNCTION("""COMPUTED_VALUE"""),"取得 UL 1973 認證證書")</f>
        <v>取得 UL 1973 認證證書</v>
      </c>
      <c r="J52" s="12">
        <f ca="1">IFERROR(__xludf.DUMMYFUNCTION("""COMPUTED_VALUE"""),8.6)</f>
        <v>8.6</v>
      </c>
      <c r="K52" s="13" t="b">
        <f ca="1">IFERROR(__xludf.DUMMYFUNCTION("""COMPUTED_VALUE"""),TRUE)</f>
        <v>1</v>
      </c>
      <c r="L52" s="33">
        <f ca="1">IFERROR(__xludf.DUMMYFUNCTION("""COMPUTED_VALUE"""),9.2)</f>
        <v>9.1999999999999993</v>
      </c>
      <c r="M52" s="13" t="b">
        <f ca="1">IFERROR(__xludf.DUMMYFUNCTION("""COMPUTED_VALUE"""),FALSE)</f>
        <v>0</v>
      </c>
      <c r="N52" s="33">
        <f ca="1">IFERROR(__xludf.DUMMYFUNCTION("""COMPUTED_VALUE"""),7.8)</f>
        <v>7.8</v>
      </c>
      <c r="O52" s="13" t="b">
        <f ca="1">IFERROR(__xludf.DUMMYFUNCTION("""COMPUTED_VALUE"""),TRUE)</f>
        <v>1</v>
      </c>
      <c r="P52" s="33">
        <f ca="1">IFERROR(__xludf.DUMMYFUNCTION("""COMPUTED_VALUE"""),9)</f>
        <v>9</v>
      </c>
      <c r="Q52" s="13" t="b">
        <f ca="1">IFERROR(__xludf.DUMMYFUNCTION("""COMPUTED_VALUE"""),FALSE)</f>
        <v>0</v>
      </c>
      <c r="R52" s="33">
        <f ca="1">IFERROR(__xludf.DUMMYFUNCTION("""COMPUTED_VALUE"""),9)</f>
        <v>9</v>
      </c>
      <c r="S52" s="13" t="b">
        <f ca="1">IFERROR(__xludf.DUMMYFUNCTION("""COMPUTED_VALUE"""),TRUE)</f>
        <v>1</v>
      </c>
      <c r="T52" s="33">
        <f ca="1">IFERROR(__xludf.DUMMYFUNCTION("""COMPUTED_VALUE"""),9)</f>
        <v>9</v>
      </c>
      <c r="U52" s="13" t="b">
        <f ca="1">IFERROR(__xludf.DUMMYFUNCTION("""COMPUTED_VALUE"""),TRUE)</f>
        <v>1</v>
      </c>
      <c r="V52" s="33">
        <f ca="1">IFERROR(__xludf.DUMMYFUNCTION("""COMPUTED_VALUE"""),8.6)</f>
        <v>8.6</v>
      </c>
      <c r="W52" s="13" t="b">
        <f ca="1">IFERROR(__xludf.DUMMYFUNCTION("""COMPUTED_VALUE"""),FALSE)</f>
        <v>0</v>
      </c>
      <c r="X52" s="33">
        <f ca="1">IFERROR(__xludf.DUMMYFUNCTION("""COMPUTED_VALUE"""),8.6)</f>
        <v>8.6</v>
      </c>
      <c r="Y52" s="13" t="b">
        <f ca="1">IFERROR(__xludf.DUMMYFUNCTION("""COMPUTED_VALUE"""),FALSE)</f>
        <v>0</v>
      </c>
      <c r="Z52" s="33">
        <f ca="1">IFERROR(__xludf.DUMMYFUNCTION("""COMPUTED_VALUE"""),8.5)</f>
        <v>8.5</v>
      </c>
      <c r="AA52" s="37">
        <f ca="1">IFERROR(__xludf.DUMMYFUNCTION("""COMPUTED_VALUE"""),0.1216)</f>
        <v>0.1216</v>
      </c>
      <c r="AB52" s="37">
        <f ca="1">IFERROR(__xludf.DUMMYFUNCTION("""COMPUTED_VALUE"""),0.128)</f>
        <v>0.128</v>
      </c>
      <c r="AC52" s="37">
        <f ca="1">IFERROR(__xludf.DUMMYFUNCTION("""COMPUTED_VALUE"""),0.1344)</f>
        <v>0.13439999999999999</v>
      </c>
      <c r="AD52" s="2"/>
      <c r="AE52" s="2"/>
      <c r="AF52" s="2"/>
    </row>
    <row r="53" spans="1:32" ht="15.6">
      <c r="A53" s="34"/>
      <c r="B53" s="10" t="b">
        <f ca="1">IFERROR(__xludf.DUMMYFUNCTION("""COMPUTED_VALUE"""),TRUE)</f>
        <v>1</v>
      </c>
      <c r="C53" s="11" t="str">
        <f ca="1">IFERROR(__xludf.DUMMYFUNCTION("""COMPUTED_VALUE"""),"取得 CNS 62619 認證證書")</f>
        <v>取得 CNS 62619 認證證書</v>
      </c>
      <c r="D53" s="34"/>
      <c r="E53" s="34"/>
      <c r="F53" s="34"/>
      <c r="G53" s="34"/>
      <c r="H53" s="6"/>
      <c r="I53" s="11" t="str">
        <f ca="1">IFERROR(__xludf.DUMMYFUNCTION("""COMPUTED_VALUE"""),"取得 CNS 62619 認證證書")</f>
        <v>取得 CNS 62619 認證證書</v>
      </c>
      <c r="J53" s="12">
        <f ca="1">IFERROR(__xludf.DUMMYFUNCTION("""COMPUTED_VALUE"""),8.6)</f>
        <v>8.6</v>
      </c>
      <c r="K53" s="14" t="b">
        <f ca="1">IFERROR(__xludf.DUMMYFUNCTION("""COMPUTED_VALUE"""),TRUE)</f>
        <v>1</v>
      </c>
      <c r="L53" s="34"/>
      <c r="M53" s="14" t="b">
        <f ca="1">IFERROR(__xludf.DUMMYFUNCTION("""COMPUTED_VALUE"""),FALSE)</f>
        <v>0</v>
      </c>
      <c r="N53" s="34"/>
      <c r="O53" s="14" t="b">
        <f ca="1">IFERROR(__xludf.DUMMYFUNCTION("""COMPUTED_VALUE"""),TRUE)</f>
        <v>1</v>
      </c>
      <c r="P53" s="34"/>
      <c r="Q53" s="14" t="b">
        <f ca="1">IFERROR(__xludf.DUMMYFUNCTION("""COMPUTED_VALUE"""),TRUE)</f>
        <v>1</v>
      </c>
      <c r="R53" s="34"/>
      <c r="S53" s="14" t="b">
        <f ca="1">IFERROR(__xludf.DUMMYFUNCTION("""COMPUTED_VALUE"""),FALSE)</f>
        <v>0</v>
      </c>
      <c r="T53" s="34"/>
      <c r="U53" s="14" t="b">
        <f ca="1">IFERROR(__xludf.DUMMYFUNCTION("""COMPUTED_VALUE"""),FALSE)</f>
        <v>0</v>
      </c>
      <c r="V53" s="34"/>
      <c r="W53" s="14" t="b">
        <f ca="1">IFERROR(__xludf.DUMMYFUNCTION("""COMPUTED_VALUE"""),TRUE)</f>
        <v>1</v>
      </c>
      <c r="X53" s="34"/>
      <c r="Y53" s="14" t="b">
        <f ca="1">IFERROR(__xludf.DUMMYFUNCTION("""COMPUTED_VALUE"""),FALSE)</f>
        <v>0</v>
      </c>
      <c r="Z53" s="34"/>
      <c r="AA53" s="34"/>
      <c r="AB53" s="34"/>
      <c r="AC53" s="34"/>
      <c r="AD53" s="2"/>
      <c r="AE53" s="2"/>
      <c r="AF53" s="2"/>
    </row>
    <row r="54" spans="1:32" ht="15.6">
      <c r="A54" s="27"/>
      <c r="B54" s="10" t="b">
        <f ca="1">IFERROR(__xludf.DUMMYFUNCTION("""COMPUTED_VALUE"""),TRUE)</f>
        <v>1</v>
      </c>
      <c r="C54" s="11" t="str">
        <f ca="1">IFERROR(__xludf.DUMMYFUNCTION("""COMPUTED_VALUE"""),"符合 IEC 60730 之測試報告")</f>
        <v>符合 IEC 60730 之測試報告</v>
      </c>
      <c r="D54" s="27"/>
      <c r="E54" s="27"/>
      <c r="F54" s="34"/>
      <c r="G54" s="34"/>
      <c r="H54" s="6"/>
      <c r="I54" s="11" t="str">
        <f ca="1">IFERROR(__xludf.DUMMYFUNCTION("""COMPUTED_VALUE"""),"符合 IEC 60730 之測試報告")</f>
        <v>符合 IEC 60730 之測試報告</v>
      </c>
      <c r="J54" s="12">
        <f ca="1">IFERROR(__xludf.DUMMYFUNCTION("""COMPUTED_VALUE"""),8.5)</f>
        <v>8.5</v>
      </c>
      <c r="K54" s="13" t="b">
        <f ca="1">IFERROR(__xludf.DUMMYFUNCTION("""COMPUTED_VALUE"""),TRUE)</f>
        <v>1</v>
      </c>
      <c r="L54" s="27"/>
      <c r="M54" s="13" t="b">
        <f ca="1">IFERROR(__xludf.DUMMYFUNCTION("""COMPUTED_VALUE"""),FALSE)</f>
        <v>0</v>
      </c>
      <c r="N54" s="27"/>
      <c r="O54" s="13" t="b">
        <f ca="1">IFERROR(__xludf.DUMMYFUNCTION("""COMPUTED_VALUE"""),FALSE)</f>
        <v>0</v>
      </c>
      <c r="P54" s="27"/>
      <c r="Q54" s="13" t="b">
        <f ca="1">IFERROR(__xludf.DUMMYFUNCTION("""COMPUTED_VALUE"""),TRUE)</f>
        <v>1</v>
      </c>
      <c r="R54" s="27"/>
      <c r="S54" s="13" t="b">
        <f ca="1">IFERROR(__xludf.DUMMYFUNCTION("""COMPUTED_VALUE"""),TRUE)</f>
        <v>1</v>
      </c>
      <c r="T54" s="27"/>
      <c r="U54" s="13" t="b">
        <f ca="1">IFERROR(__xludf.DUMMYFUNCTION("""COMPUTED_VALUE"""),FALSE)</f>
        <v>0</v>
      </c>
      <c r="V54" s="27"/>
      <c r="W54" s="13" t="b">
        <f ca="1">IFERROR(__xludf.DUMMYFUNCTION("""COMPUTED_VALUE"""),FALSE)</f>
        <v>0</v>
      </c>
      <c r="X54" s="27"/>
      <c r="Y54" s="13" t="b">
        <f ca="1">IFERROR(__xludf.DUMMYFUNCTION("""COMPUTED_VALUE"""),TRUE)</f>
        <v>1</v>
      </c>
      <c r="Z54" s="27"/>
      <c r="AA54" s="34"/>
      <c r="AB54" s="34"/>
      <c r="AC54" s="34"/>
      <c r="AD54" s="2"/>
      <c r="AE54" s="2"/>
      <c r="AF54" s="2"/>
    </row>
    <row r="55" spans="1:32" ht="15.6">
      <c r="A55" s="26" t="str">
        <f ca="1">IFERROR(__xludf.DUMMYFUNCTION("""COMPUTED_VALUE"""),"充電電流控制器定期檢修")</f>
        <v>充電電流控制器定期檢修</v>
      </c>
      <c r="B55" s="28" t="str">
        <f ca="1">IFERROR(__xludf.DUMMYFUNCTION("""COMPUTED_VALUE"""),"充電電流控制器二年檢修1次")</f>
        <v>充電電流控制器二年檢修1次</v>
      </c>
      <c r="C55" s="29"/>
      <c r="D55" s="32">
        <f ca="1">IFERROR(__xludf.DUMMYFUNCTION("""COMPUTED_VALUE"""),8.2)</f>
        <v>8.1999999999999993</v>
      </c>
      <c r="E55" s="39">
        <f ca="1">IFERROR(__xludf.DUMMYFUNCTION("""COMPUTED_VALUE"""),0.3)</f>
        <v>0.3</v>
      </c>
      <c r="F55" s="34"/>
      <c r="G55" s="34"/>
      <c r="H55" s="6"/>
      <c r="I55" s="7" t="str">
        <f ca="1">IFERROR(__xludf.DUMMYFUNCTION("""COMPUTED_VALUE"""),"充電電流控制器一年檢修1次")</f>
        <v>充電電流控制器一年檢修1次</v>
      </c>
      <c r="J55" s="8">
        <f ca="1">IFERROR(__xludf.DUMMYFUNCTION("""COMPUTED_VALUE"""),8.5)</f>
        <v>8.5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34"/>
      <c r="AB55" s="34"/>
      <c r="AC55" s="34"/>
      <c r="AD55" s="2"/>
      <c r="AE55" s="2"/>
      <c r="AF55" s="2"/>
    </row>
    <row r="56" spans="1:32" ht="15.6">
      <c r="A56" s="34"/>
      <c r="B56" s="40"/>
      <c r="C56" s="41"/>
      <c r="D56" s="34"/>
      <c r="E56" s="34"/>
      <c r="F56" s="34"/>
      <c r="G56" s="34"/>
      <c r="H56" s="6"/>
      <c r="I56" s="7" t="str">
        <f ca="1">IFERROR(__xludf.DUMMYFUNCTION("""COMPUTED_VALUE"""),"充電電流控制器二年檢修1次")</f>
        <v>充電電流控制器二年檢修1次</v>
      </c>
      <c r="J56" s="8">
        <f ca="1">IFERROR(__xludf.DUMMYFUNCTION("""COMPUTED_VALUE"""),8.2)</f>
        <v>8.1999999999999993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34"/>
      <c r="AB56" s="34"/>
      <c r="AC56" s="34"/>
      <c r="AD56" s="2"/>
      <c r="AE56" s="2"/>
      <c r="AF56" s="2"/>
    </row>
    <row r="57" spans="1:32" ht="15.6">
      <c r="A57" s="27"/>
      <c r="B57" s="30"/>
      <c r="C57" s="31"/>
      <c r="D57" s="27"/>
      <c r="E57" s="27"/>
      <c r="F57" s="34"/>
      <c r="G57" s="34"/>
      <c r="H57" s="6"/>
      <c r="I57" s="7" t="str">
        <f ca="1">IFERROR(__xludf.DUMMYFUNCTION("""COMPUTED_VALUE"""),"充電電流控制器未定期檢修")</f>
        <v>充電電流控制器未定期檢修</v>
      </c>
      <c r="J57" s="8">
        <f ca="1">IFERROR(__xludf.DUMMYFUNCTION("""COMPUTED_VALUE"""),7.5)</f>
        <v>7.5</v>
      </c>
      <c r="K57" s="2"/>
      <c r="L57" s="9"/>
      <c r="M57" s="2"/>
      <c r="N57" s="9"/>
      <c r="O57" s="2"/>
      <c r="P57" s="9"/>
      <c r="Q57" s="2"/>
      <c r="R57" s="9"/>
      <c r="S57" s="2"/>
      <c r="T57" s="9"/>
      <c r="U57" s="2"/>
      <c r="V57" s="9"/>
      <c r="W57" s="2"/>
      <c r="X57" s="9"/>
      <c r="Y57" s="2"/>
      <c r="Z57" s="9"/>
      <c r="AA57" s="34"/>
      <c r="AB57" s="34"/>
      <c r="AC57" s="34"/>
      <c r="AD57" s="2"/>
      <c r="AE57" s="2"/>
      <c r="AF57" s="2"/>
    </row>
    <row r="58" spans="1:32" ht="15.6">
      <c r="A58" s="26" t="str">
        <f ca="1">IFERROR(__xludf.DUMMYFUNCTION("""COMPUTED_VALUE"""),"充電電流控制器有故障監視")</f>
        <v>充電電流控制器有故障監視</v>
      </c>
      <c r="B58" s="28" t="str">
        <f ca="1">IFERROR(__xludf.DUMMYFUNCTION("""COMPUTED_VALUE"""),"控制器具有故障監視功能")</f>
        <v>控制器具有故障監視功能</v>
      </c>
      <c r="C58" s="29"/>
      <c r="D58" s="32">
        <f ca="1">IFERROR(__xludf.DUMMYFUNCTION("""COMPUTED_VALUE"""),8.6)</f>
        <v>8.6</v>
      </c>
      <c r="E58" s="39">
        <f ca="1">IFERROR(__xludf.DUMMYFUNCTION("""COMPUTED_VALUE"""),0.3)</f>
        <v>0.3</v>
      </c>
      <c r="F58" s="34"/>
      <c r="G58" s="34"/>
      <c r="H58" s="6"/>
      <c r="I58" s="7" t="str">
        <f ca="1">IFERROR(__xludf.DUMMYFUNCTION("""COMPUTED_VALUE"""),"控制器具有故障監視功能")</f>
        <v>控制器具有故障監視功能</v>
      </c>
      <c r="J58" s="8">
        <f ca="1">IFERROR(__xludf.DUMMYFUNCTION("""COMPUTED_VALUE"""),8.6)</f>
        <v>8.6</v>
      </c>
      <c r="K58" s="2"/>
      <c r="L58" s="9"/>
      <c r="M58" s="2"/>
      <c r="N58" s="9"/>
      <c r="O58" s="2"/>
      <c r="P58" s="9"/>
      <c r="Q58" s="2"/>
      <c r="R58" s="9"/>
      <c r="S58" s="2"/>
      <c r="T58" s="9"/>
      <c r="U58" s="2"/>
      <c r="V58" s="9"/>
      <c r="W58" s="2"/>
      <c r="X58" s="9"/>
      <c r="Y58" s="2"/>
      <c r="Z58" s="9"/>
      <c r="AA58" s="34"/>
      <c r="AB58" s="34"/>
      <c r="AC58" s="34"/>
      <c r="AD58" s="2"/>
      <c r="AE58" s="2"/>
      <c r="AF58" s="2"/>
    </row>
    <row r="59" spans="1:32" ht="15.6">
      <c r="A59" s="27"/>
      <c r="B59" s="30"/>
      <c r="C59" s="31"/>
      <c r="D59" s="27"/>
      <c r="E59" s="27"/>
      <c r="F59" s="27"/>
      <c r="G59" s="27"/>
      <c r="H59" s="16"/>
      <c r="I59" s="7" t="str">
        <f ca="1">IFERROR(__xludf.DUMMYFUNCTION("""COMPUTED_VALUE"""),"控制器無故障監視功能")</f>
        <v>控制器無故障監視功能</v>
      </c>
      <c r="J59" s="8">
        <f ca="1">IFERROR(__xludf.DUMMYFUNCTION("""COMPUTED_VALUE"""),7.8)</f>
        <v>7.8</v>
      </c>
      <c r="K59" s="2"/>
      <c r="L59" s="9"/>
      <c r="M59" s="2"/>
      <c r="N59" s="9"/>
      <c r="O59" s="2"/>
      <c r="P59" s="9"/>
      <c r="Q59" s="2"/>
      <c r="R59" s="9"/>
      <c r="S59" s="2"/>
      <c r="T59" s="9"/>
      <c r="U59" s="2"/>
      <c r="V59" s="9"/>
      <c r="W59" s="2"/>
      <c r="X59" s="9"/>
      <c r="Y59" s="2"/>
      <c r="Z59" s="9"/>
      <c r="AA59" s="27"/>
      <c r="AB59" s="27"/>
      <c r="AC59" s="27"/>
      <c r="AD59" s="2"/>
      <c r="AE59" s="2"/>
      <c r="AF59" s="2"/>
    </row>
    <row r="60" spans="1:32" ht="15.6">
      <c r="A60" s="19" t="str">
        <f ca="1">IFERROR(__xludf.DUMMYFUNCTION("IMPORTRANGE(""https://docs.google.com/spreadsheets/d/1g3k-_bsDSgGx-LrtXVu_8pmZey8G_3GZEmdJXJYtcxo/edit?gid=1446731879#gid=1446731879"",""'F1-b2-1'!A1:AC9"")"),"過電流保護設定不當 F1-b2-1(t)")</f>
        <v>過電流保護設定不當 F1-b2-1(t)</v>
      </c>
      <c r="B60" s="20"/>
      <c r="C60" s="20"/>
      <c r="D60" s="20"/>
      <c r="E60" s="20"/>
      <c r="F60" s="20"/>
      <c r="G60" s="20"/>
      <c r="H60" s="1"/>
      <c r="I60" s="21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2"/>
      <c r="AA60" s="23"/>
      <c r="AB60" s="24"/>
      <c r="AC60" s="24"/>
      <c r="AD60" s="2"/>
      <c r="AE60" s="2"/>
      <c r="AF60" s="2"/>
    </row>
    <row r="61" spans="1:32" ht="46.8">
      <c r="A61" s="3" t="str">
        <f ca="1">IFERROR(__xludf.DUMMYFUNCTION("""COMPUTED_VALUE"""),"確保可靠度的手段")</f>
        <v>確保可靠度的手段</v>
      </c>
      <c r="B61" s="25" t="str">
        <f ca="1">IFERROR(__xludf.DUMMYFUNCTION("""COMPUTED_VALUE"""),"確證方式")</f>
        <v>確證方式</v>
      </c>
      <c r="C61" s="22"/>
      <c r="D61" s="3" t="str">
        <f ca="1">IFERROR(__xludf.DUMMYFUNCTION("""COMPUTED_VALUE"""),"得分")</f>
        <v>得分</v>
      </c>
      <c r="E61" s="3" t="str">
        <f ca="1">IFERROR(__xludf.DUMMYFUNCTION("""COMPUTED_VALUE"""),"權重")</f>
        <v>權重</v>
      </c>
      <c r="F61" s="3" t="str">
        <f ca="1">IFERROR(__xludf.DUMMYFUNCTION("""COMPUTED_VALUE"""),"可靠度概率")</f>
        <v>可靠度概率</v>
      </c>
      <c r="G61" s="3" t="str">
        <f ca="1">IFERROR(__xludf.DUMMYFUNCTION("""COMPUTED_VALUE"""),"F1-b2-1(t)")</f>
        <v>F1-b2-1(t)</v>
      </c>
      <c r="H61" s="4"/>
      <c r="I61" s="5" t="str">
        <f ca="1">IFERROR(__xludf.DUMMYFUNCTION("""COMPUTED_VALUE"""),"調查問項")</f>
        <v>調查問項</v>
      </c>
      <c r="J61" s="5" t="str">
        <f ca="1">IFERROR(__xludf.DUMMYFUNCTION("""COMPUTED_VALUE"""),"分項分數")</f>
        <v>分項分數</v>
      </c>
      <c r="K61" s="5" t="str">
        <f ca="1">IFERROR(__xludf.DUMMYFUNCTION("""COMPUTED_VALUE"""),"勾選組合")</f>
        <v>勾選組合</v>
      </c>
      <c r="L61" s="5" t="str">
        <f ca="1">IFERROR(__xludf.DUMMYFUNCTION("""COMPUTED_VALUE"""),"得分")</f>
        <v>得分</v>
      </c>
      <c r="M61" s="5" t="str">
        <f ca="1">IFERROR(__xludf.DUMMYFUNCTION("""COMPUTED_VALUE"""),"勾選組合")</f>
        <v>勾選組合</v>
      </c>
      <c r="N61" s="5" t="str">
        <f ca="1">IFERROR(__xludf.DUMMYFUNCTION("""COMPUTED_VALUE"""),"得分")</f>
        <v>得分</v>
      </c>
      <c r="O61" s="5" t="str">
        <f ca="1">IFERROR(__xludf.DUMMYFUNCTION("""COMPUTED_VALUE"""),"勾選組合")</f>
        <v>勾選組合</v>
      </c>
      <c r="P61" s="5" t="str">
        <f ca="1">IFERROR(__xludf.DUMMYFUNCTION("""COMPUTED_VALUE"""),"得分")</f>
        <v>得分</v>
      </c>
      <c r="Q61" s="5" t="str">
        <f ca="1">IFERROR(__xludf.DUMMYFUNCTION("""COMPUTED_VALUE"""),"勾選組合")</f>
        <v>勾選組合</v>
      </c>
      <c r="R61" s="5" t="str">
        <f ca="1">IFERROR(__xludf.DUMMYFUNCTION("""COMPUTED_VALUE"""),"得分")</f>
        <v>得分</v>
      </c>
      <c r="S61" s="5" t="str">
        <f ca="1">IFERROR(__xludf.DUMMYFUNCTION("""COMPUTED_VALUE"""),"勾選組合")</f>
        <v>勾選組合</v>
      </c>
      <c r="T61" s="5" t="str">
        <f ca="1">IFERROR(__xludf.DUMMYFUNCTION("""COMPUTED_VALUE"""),"得分")</f>
        <v>得分</v>
      </c>
      <c r="U61" s="5" t="str">
        <f ca="1">IFERROR(__xludf.DUMMYFUNCTION("""COMPUTED_VALUE"""),"勾選組合")</f>
        <v>勾選組合</v>
      </c>
      <c r="V61" s="5" t="str">
        <f ca="1">IFERROR(__xludf.DUMMYFUNCTION("""COMPUTED_VALUE"""),"得分")</f>
        <v>得分</v>
      </c>
      <c r="W61" s="5" t="str">
        <f ca="1">IFERROR(__xludf.DUMMYFUNCTION("""COMPUTED_VALUE"""),"勾選組合")</f>
        <v>勾選組合</v>
      </c>
      <c r="X61" s="5" t="str">
        <f ca="1">IFERROR(__xludf.DUMMYFUNCTION("""COMPUTED_VALUE"""),"得分")</f>
        <v>得分</v>
      </c>
      <c r="Y61" s="5" t="str">
        <f ca="1">IFERROR(__xludf.DUMMYFUNCTION("""COMPUTED_VALUE"""),"勾選組合")</f>
        <v>勾選組合</v>
      </c>
      <c r="Z61" s="5" t="str">
        <f ca="1">IFERROR(__xludf.DUMMYFUNCTION("""COMPUTED_VALUE"""),"得分")</f>
        <v>得分</v>
      </c>
      <c r="AA61" s="25" t="str">
        <f ca="1">IFERROR(__xludf.DUMMYFUNCTION("""COMPUTED_VALUE"""),"F1-b2-1(t)")</f>
        <v>F1-b2-1(t)</v>
      </c>
      <c r="AB61" s="20"/>
      <c r="AC61" s="22"/>
      <c r="AD61" s="2"/>
      <c r="AE61" s="2"/>
      <c r="AF61" s="2"/>
    </row>
    <row r="62" spans="1:32" ht="15.6">
      <c r="A62" s="26" t="str">
        <f ca="1">IFERROR(__xludf.DUMMYFUNCTION("""COMPUTED_VALUE"""),"符合規定的過電流保護設定")</f>
        <v>符合規定的過電流保護設定</v>
      </c>
      <c r="B62" s="28" t="str">
        <f ca="1">IFERROR(__xludf.DUMMYFUNCTION("""COMPUTED_VALUE"""),"經由第三方查核確認")</f>
        <v>經由第三方查核確認</v>
      </c>
      <c r="C62" s="29"/>
      <c r="D62" s="32">
        <f ca="1">IFERROR(__xludf.DUMMYFUNCTION("""COMPUTED_VALUE"""),8.5)</f>
        <v>8.5</v>
      </c>
      <c r="E62" s="39">
        <f ca="1">IFERROR(__xludf.DUMMYFUNCTION("""COMPUTED_VALUE"""),0.4)</f>
        <v>0.4</v>
      </c>
      <c r="F62" s="38">
        <f ca="1">IFERROR(__xludf.DUMMYFUNCTION("""COMPUTED_VALUE"""),0.868)</f>
        <v>0.86799999999999999</v>
      </c>
      <c r="G62" s="38">
        <f ca="1">IFERROR(__xludf.DUMMYFUNCTION("""COMPUTED_VALUE"""),0.132)</f>
        <v>0.13200000000000001</v>
      </c>
      <c r="H62" s="6"/>
      <c r="I62" s="7" t="str">
        <f ca="1">IFERROR(__xludf.DUMMYFUNCTION("""COMPUTED_VALUE"""),"經由第三方查核確認")</f>
        <v>經由第三方查核確認</v>
      </c>
      <c r="J62" s="8">
        <f ca="1">IFERROR(__xludf.DUMMYFUNCTION("""COMPUTED_VALUE"""),8.5)</f>
        <v>8.5</v>
      </c>
      <c r="K62" s="2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7">
        <f ca="1">IFERROR(__xludf.DUMMYFUNCTION("""COMPUTED_VALUE"""),0.1254)</f>
        <v>0.12540000000000001</v>
      </c>
      <c r="AB62" s="37">
        <f ca="1">IFERROR(__xludf.DUMMYFUNCTION("""COMPUTED_VALUE"""),0.132)</f>
        <v>0.13200000000000001</v>
      </c>
      <c r="AC62" s="37">
        <f ca="1">IFERROR(__xludf.DUMMYFUNCTION("""COMPUTED_VALUE"""),0.1386)</f>
        <v>0.1386</v>
      </c>
      <c r="AD62" s="2"/>
      <c r="AE62" s="2"/>
      <c r="AF62" s="2"/>
    </row>
    <row r="63" spans="1:32" ht="15.6">
      <c r="A63" s="27"/>
      <c r="B63" s="30"/>
      <c r="C63" s="31"/>
      <c r="D63" s="27"/>
      <c r="E63" s="27"/>
      <c r="F63" s="34"/>
      <c r="G63" s="34"/>
      <c r="H63" s="6"/>
      <c r="I63" s="7" t="str">
        <f ca="1">IFERROR(__xludf.DUMMYFUNCTION("""COMPUTED_VALUE"""),"未經由第三方查核確認")</f>
        <v>未經由第三方查核確認</v>
      </c>
      <c r="J63" s="8">
        <f ca="1">IFERROR(__xludf.DUMMYFUNCTION("""COMPUTED_VALUE"""),7.5)</f>
        <v>7.5</v>
      </c>
      <c r="K63" s="2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4"/>
      <c r="AB63" s="34"/>
      <c r="AC63" s="34"/>
      <c r="AD63" s="2"/>
      <c r="AE63" s="2"/>
      <c r="AF63" s="2"/>
    </row>
    <row r="64" spans="1:32" ht="62.4">
      <c r="A64" s="36" t="str">
        <f ca="1">IFERROR(__xludf.DUMMYFUNCTION("""COMPUTED_VALUE"""),"過電流保護動作移報訊號")</f>
        <v>過電流保護動作移報訊號</v>
      </c>
      <c r="B64" s="10" t="b">
        <f ca="1">IFERROR(__xludf.DUMMYFUNCTION("""COMPUTED_VALUE"""),FALSE)</f>
        <v>0</v>
      </c>
      <c r="C64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64" s="33">
        <f ca="1">IFERROR(__xludf.DUMMYFUNCTION("""COMPUTED_VALUE"""),9)</f>
        <v>9</v>
      </c>
      <c r="E64" s="35">
        <f ca="1">IFERROR(__xludf.DUMMYFUNCTION("""COMPUTED_VALUE"""),0.3)</f>
        <v>0.3</v>
      </c>
      <c r="F64" s="34"/>
      <c r="G64" s="34"/>
      <c r="H64" s="6"/>
      <c r="I64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64" s="12">
        <f ca="1">IFERROR(__xludf.DUMMYFUNCTION("""COMPUTED_VALUE"""),8.8)</f>
        <v>8.8000000000000007</v>
      </c>
      <c r="K64" s="13" t="b">
        <f ca="1">IFERROR(__xludf.DUMMYFUNCTION("""COMPUTED_VALUE"""),TRUE)</f>
        <v>1</v>
      </c>
      <c r="L64" s="33">
        <f ca="1">IFERROR(__xludf.DUMMYFUNCTION("""COMPUTED_VALUE"""),9.2)</f>
        <v>9.1999999999999993</v>
      </c>
      <c r="M64" s="13" t="b">
        <f ca="1">IFERROR(__xludf.DUMMYFUNCTION("""COMPUTED_VALUE"""),FALSE)</f>
        <v>0</v>
      </c>
      <c r="N64" s="33">
        <f ca="1">IFERROR(__xludf.DUMMYFUNCTION("""COMPUTED_VALUE"""),7.6)</f>
        <v>7.6</v>
      </c>
      <c r="O64" s="13" t="b">
        <f ca="1">IFERROR(__xludf.DUMMYFUNCTION("""COMPUTED_VALUE"""),TRUE)</f>
        <v>1</v>
      </c>
      <c r="P64" s="33">
        <f ca="1">IFERROR(__xludf.DUMMYFUNCTION("""COMPUTED_VALUE"""),9)</f>
        <v>9</v>
      </c>
      <c r="Q64" s="13" t="b">
        <f ca="1">IFERROR(__xludf.DUMMYFUNCTION("""COMPUTED_VALUE"""),FALSE)</f>
        <v>0</v>
      </c>
      <c r="R64" s="33">
        <f ca="1">IFERROR(__xludf.DUMMYFUNCTION("""COMPUTED_VALUE"""),9)</f>
        <v>9</v>
      </c>
      <c r="S64" s="13" t="b">
        <f ca="1">IFERROR(__xludf.DUMMYFUNCTION("""COMPUTED_VALUE"""),TRUE)</f>
        <v>1</v>
      </c>
      <c r="T64" s="33">
        <f ca="1">IFERROR(__xludf.DUMMYFUNCTION("""COMPUTED_VALUE"""),9)</f>
        <v>9</v>
      </c>
      <c r="U64" s="13" t="b">
        <f ca="1">IFERROR(__xludf.DUMMYFUNCTION("""COMPUTED_VALUE"""),TRUE)</f>
        <v>1</v>
      </c>
      <c r="V64" s="33">
        <f ca="1">IFERROR(__xludf.DUMMYFUNCTION("""COMPUTED_VALUE"""),8.8)</f>
        <v>8.8000000000000007</v>
      </c>
      <c r="W64" s="13" t="b">
        <f ca="1">IFERROR(__xludf.DUMMYFUNCTION("""COMPUTED_VALUE"""),FALSE)</f>
        <v>0</v>
      </c>
      <c r="X64" s="33">
        <f ca="1">IFERROR(__xludf.DUMMYFUNCTION("""COMPUTED_VALUE"""),8.5)</f>
        <v>8.5</v>
      </c>
      <c r="Y64" s="13" t="b">
        <f ca="1">IFERROR(__xludf.DUMMYFUNCTION("""COMPUTED_VALUE"""),FALSE)</f>
        <v>0</v>
      </c>
      <c r="Z64" s="33">
        <f ca="1">IFERROR(__xludf.DUMMYFUNCTION("""COMPUTED_VALUE"""),8.5)</f>
        <v>8.5</v>
      </c>
      <c r="AA64" s="34"/>
      <c r="AB64" s="34"/>
      <c r="AC64" s="34"/>
      <c r="AD64" s="2"/>
      <c r="AE64" s="2"/>
      <c r="AF64" s="2"/>
    </row>
    <row r="65" spans="1:32" ht="31.2">
      <c r="A65" s="34"/>
      <c r="B65" s="10" t="b">
        <f ca="1">IFERROR(__xludf.DUMMYFUNCTION("""COMPUTED_VALUE"""),TRUE)</f>
        <v>1</v>
      </c>
      <c r="C65" s="11" t="str">
        <f ca="1">IFERROR(__xludf.DUMMYFUNCTION("""COMPUTED_VALUE"""),"BMS通過Test Report - IEC 60730-1 - Annex H測試")</f>
        <v>BMS通過Test Report - IEC 60730-1 - Annex H測試</v>
      </c>
      <c r="D65" s="34"/>
      <c r="E65" s="34"/>
      <c r="F65" s="34"/>
      <c r="G65" s="34"/>
      <c r="H65" s="6"/>
      <c r="I65" s="11" t="str">
        <f ca="1">IFERROR(__xludf.DUMMYFUNCTION("""COMPUTED_VALUE"""),"BMS通過Test Report - IEC 60730-1 - Annex H測試")</f>
        <v>BMS通過Test Report - IEC 60730-1 - Annex H測試</v>
      </c>
      <c r="J65" s="12">
        <f ca="1">IFERROR(__xludf.DUMMYFUNCTION("""COMPUTED_VALUE"""),8.5)</f>
        <v>8.5</v>
      </c>
      <c r="K65" s="14" t="b">
        <f ca="1">IFERROR(__xludf.DUMMYFUNCTION("""COMPUTED_VALUE"""),TRUE)</f>
        <v>1</v>
      </c>
      <c r="L65" s="34"/>
      <c r="M65" s="14" t="b">
        <f ca="1">IFERROR(__xludf.DUMMYFUNCTION("""COMPUTED_VALUE"""),FALSE)</f>
        <v>0</v>
      </c>
      <c r="N65" s="34"/>
      <c r="O65" s="14" t="b">
        <f ca="1">IFERROR(__xludf.DUMMYFUNCTION("""COMPUTED_VALUE"""),TRUE)</f>
        <v>1</v>
      </c>
      <c r="P65" s="34"/>
      <c r="Q65" s="14" t="b">
        <f ca="1">IFERROR(__xludf.DUMMYFUNCTION("""COMPUTED_VALUE"""),TRUE)</f>
        <v>1</v>
      </c>
      <c r="R65" s="34"/>
      <c r="S65" s="14" t="b">
        <f ca="1">IFERROR(__xludf.DUMMYFUNCTION("""COMPUTED_VALUE"""),FALSE)</f>
        <v>0</v>
      </c>
      <c r="T65" s="34"/>
      <c r="U65" s="14" t="b">
        <f ca="1">IFERROR(__xludf.DUMMYFUNCTION("""COMPUTED_VALUE"""),FALSE)</f>
        <v>0</v>
      </c>
      <c r="V65" s="34"/>
      <c r="W65" s="14" t="b">
        <f ca="1">IFERROR(__xludf.DUMMYFUNCTION("""COMPUTED_VALUE"""),TRUE)</f>
        <v>1</v>
      </c>
      <c r="X65" s="34"/>
      <c r="Y65" s="14" t="b">
        <f ca="1">IFERROR(__xludf.DUMMYFUNCTION("""COMPUTED_VALUE"""),FALSE)</f>
        <v>0</v>
      </c>
      <c r="Z65" s="34"/>
      <c r="AA65" s="34"/>
      <c r="AB65" s="34"/>
      <c r="AC65" s="34"/>
      <c r="AD65" s="2"/>
      <c r="AE65" s="2"/>
      <c r="AF65" s="2"/>
    </row>
    <row r="66" spans="1:32" ht="31.2">
      <c r="A66" s="27"/>
      <c r="B66" s="10" t="b">
        <f ca="1">IFERROR(__xludf.DUMMYFUNCTION("""COMPUTED_VALUE"""),TRUE)</f>
        <v>1</v>
      </c>
      <c r="C66" s="11" t="str">
        <f ca="1">IFERROR(__xludf.DUMMYFUNCTION("""COMPUTED_VALUE"""),"異常訊號可同時通知現場及遠端管理人員")</f>
        <v>異常訊號可同時通知現場及遠端管理人員</v>
      </c>
      <c r="D66" s="27"/>
      <c r="E66" s="27"/>
      <c r="F66" s="34"/>
      <c r="G66" s="34"/>
      <c r="H66" s="6"/>
      <c r="I66" s="11" t="str">
        <f ca="1">IFERROR(__xludf.DUMMYFUNCTION("""COMPUTED_VALUE"""),"異常訊號可同時通知現場及遠端管理人員")</f>
        <v>異常訊號可同時通知現場及遠端管理人員</v>
      </c>
      <c r="J66" s="12">
        <f ca="1">IFERROR(__xludf.DUMMYFUNCTION("""COMPUTED_VALUE"""),8.5)</f>
        <v>8.5</v>
      </c>
      <c r="K66" s="13" t="b">
        <f ca="1">IFERROR(__xludf.DUMMYFUNCTION("""COMPUTED_VALUE"""),TRUE)</f>
        <v>1</v>
      </c>
      <c r="L66" s="27"/>
      <c r="M66" s="13" t="b">
        <f ca="1">IFERROR(__xludf.DUMMYFUNCTION("""COMPUTED_VALUE"""),FALSE)</f>
        <v>0</v>
      </c>
      <c r="N66" s="27"/>
      <c r="O66" s="13" t="b">
        <f ca="1">IFERROR(__xludf.DUMMYFUNCTION("""COMPUTED_VALUE"""),FALSE)</f>
        <v>0</v>
      </c>
      <c r="P66" s="27"/>
      <c r="Q66" s="13" t="b">
        <f ca="1">IFERROR(__xludf.DUMMYFUNCTION("""COMPUTED_VALUE"""),TRUE)</f>
        <v>1</v>
      </c>
      <c r="R66" s="27"/>
      <c r="S66" s="13" t="b">
        <f ca="1">IFERROR(__xludf.DUMMYFUNCTION("""COMPUTED_VALUE"""),TRUE)</f>
        <v>1</v>
      </c>
      <c r="T66" s="27"/>
      <c r="U66" s="13" t="b">
        <f ca="1">IFERROR(__xludf.DUMMYFUNCTION("""COMPUTED_VALUE"""),FALSE)</f>
        <v>0</v>
      </c>
      <c r="V66" s="27"/>
      <c r="W66" s="13" t="b">
        <f ca="1">IFERROR(__xludf.DUMMYFUNCTION("""COMPUTED_VALUE"""),FALSE)</f>
        <v>0</v>
      </c>
      <c r="X66" s="27"/>
      <c r="Y66" s="13" t="b">
        <f ca="1">IFERROR(__xludf.DUMMYFUNCTION("""COMPUTED_VALUE"""),TRUE)</f>
        <v>1</v>
      </c>
      <c r="Z66" s="27"/>
      <c r="AA66" s="34"/>
      <c r="AB66" s="34"/>
      <c r="AC66" s="34"/>
      <c r="AD66" s="2"/>
      <c r="AE66" s="2"/>
      <c r="AF66" s="2"/>
    </row>
    <row r="67" spans="1:32" ht="15.6">
      <c r="A67" s="26" t="str">
        <f ca="1">IFERROR(__xludf.DUMMYFUNCTION("""COMPUTED_VALUE"""),"過電流保護的歷史紀錄")</f>
        <v>過電流保護的歷史紀錄</v>
      </c>
      <c r="B67" s="28" t="str">
        <f ca="1">IFERROR(__xludf.DUMMYFUNCTION("""COMPUTED_VALUE"""),"歷史紀錄保存完整")</f>
        <v>歷史紀錄保存完整</v>
      </c>
      <c r="C67" s="29"/>
      <c r="D67" s="32">
        <f ca="1">IFERROR(__xludf.DUMMYFUNCTION("""COMPUTED_VALUE"""),8.6)</f>
        <v>8.6</v>
      </c>
      <c r="E67" s="39">
        <f ca="1">IFERROR(__xludf.DUMMYFUNCTION("""COMPUTED_VALUE"""),0.3)</f>
        <v>0.3</v>
      </c>
      <c r="F67" s="34"/>
      <c r="G67" s="34"/>
      <c r="H67" s="6"/>
      <c r="I67" s="7" t="str">
        <f ca="1">IFERROR(__xludf.DUMMYFUNCTION("""COMPUTED_VALUE"""),"歷史紀錄保存完整")</f>
        <v>歷史紀錄保存完整</v>
      </c>
      <c r="J67" s="8">
        <f ca="1">IFERROR(__xludf.DUMMYFUNCTION("""COMPUTED_VALUE"""),8.6)</f>
        <v>8.6</v>
      </c>
      <c r="K67" s="2"/>
      <c r="L67" s="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4"/>
      <c r="AB67" s="34"/>
      <c r="AC67" s="34"/>
      <c r="AD67" s="2"/>
      <c r="AE67" s="2"/>
      <c r="AF67" s="2"/>
    </row>
    <row r="68" spans="1:32" ht="15.6">
      <c r="A68" s="27"/>
      <c r="B68" s="30"/>
      <c r="C68" s="31"/>
      <c r="D68" s="27"/>
      <c r="E68" s="27"/>
      <c r="F68" s="27"/>
      <c r="G68" s="27"/>
      <c r="H68" s="6"/>
      <c r="I68" s="7" t="str">
        <f ca="1">IFERROR(__xludf.DUMMYFUNCTION("""COMPUTED_VALUE"""),"歷史紀錄未保存完整")</f>
        <v>歷史紀錄未保存完整</v>
      </c>
      <c r="J68" s="8">
        <f ca="1">IFERROR(__xludf.DUMMYFUNCTION("""COMPUTED_VALUE"""),7.8)</f>
        <v>7.8</v>
      </c>
      <c r="K68" s="2"/>
      <c r="L68" s="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7"/>
      <c r="AB68" s="27"/>
      <c r="AC68" s="27"/>
      <c r="AD68" s="2"/>
      <c r="AE68" s="2"/>
      <c r="AF68" s="2"/>
    </row>
    <row r="69" spans="1:32" ht="15.6">
      <c r="A69" s="19" t="str">
        <f ca="1">IFERROR(__xludf.DUMMYFUNCTION("IMPORTRANGE(""https://docs.google.com/spreadsheets/d/1g3k-_bsDSgGx-LrtXVu_8pmZey8G_3GZEmdJXJYtcxo/edit?gid=1499194281#gid=1499194281"",""'F1-b2-2'!A1:AC8"")"),"過電流保護裝置故障 F1-b2-2(t)")</f>
        <v>過電流保護裝置故障 F1-b2-2(t)</v>
      </c>
      <c r="B69" s="20"/>
      <c r="C69" s="20"/>
      <c r="D69" s="20"/>
      <c r="E69" s="20"/>
      <c r="F69" s="20"/>
      <c r="G69" s="20"/>
      <c r="H69" s="1"/>
      <c r="I69" s="21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2"/>
      <c r="AA69" s="23"/>
      <c r="AB69" s="24"/>
      <c r="AC69" s="24"/>
      <c r="AD69" s="2"/>
      <c r="AE69" s="2"/>
      <c r="AF69" s="2"/>
    </row>
    <row r="70" spans="1:32" ht="46.8">
      <c r="A70" s="3" t="str">
        <f ca="1">IFERROR(__xludf.DUMMYFUNCTION("""COMPUTED_VALUE"""),"確保可靠度的手段")</f>
        <v>確保可靠度的手段</v>
      </c>
      <c r="B70" s="25" t="str">
        <f ca="1">IFERROR(__xludf.DUMMYFUNCTION("""COMPUTED_VALUE"""),"確證方式")</f>
        <v>確證方式</v>
      </c>
      <c r="C70" s="22"/>
      <c r="D70" s="3" t="str">
        <f ca="1">IFERROR(__xludf.DUMMYFUNCTION("""COMPUTED_VALUE"""),"得分")</f>
        <v>得分</v>
      </c>
      <c r="E70" s="3" t="str">
        <f ca="1">IFERROR(__xludf.DUMMYFUNCTION("""COMPUTED_VALUE"""),"權重")</f>
        <v>權重</v>
      </c>
      <c r="F70" s="3" t="str">
        <f ca="1">IFERROR(__xludf.DUMMYFUNCTION("""COMPUTED_VALUE"""),"可靠度
 概率")</f>
        <v>可靠度
 概率</v>
      </c>
      <c r="G70" s="3" t="str">
        <f ca="1">IFERROR(__xludf.DUMMYFUNCTION("""COMPUTED_VALUE"""),"F1-b2-2(t)")</f>
        <v>F1-b2-2(t)</v>
      </c>
      <c r="H70" s="4"/>
      <c r="I70" s="5" t="str">
        <f ca="1">IFERROR(__xludf.DUMMYFUNCTION("""COMPUTED_VALUE"""),"調查問項")</f>
        <v>調查問項</v>
      </c>
      <c r="J70" s="5" t="str">
        <f ca="1">IFERROR(__xludf.DUMMYFUNCTION("""COMPUTED_VALUE"""),"分項分數")</f>
        <v>分項分數</v>
      </c>
      <c r="K70" s="5" t="str">
        <f ca="1">IFERROR(__xludf.DUMMYFUNCTION("""COMPUTED_VALUE"""),"勾選組合")</f>
        <v>勾選組合</v>
      </c>
      <c r="L70" s="5" t="str">
        <f ca="1">IFERROR(__xludf.DUMMYFUNCTION("""COMPUTED_VALUE"""),"得分")</f>
        <v>得分</v>
      </c>
      <c r="M70" s="5" t="str">
        <f ca="1">IFERROR(__xludf.DUMMYFUNCTION("""COMPUTED_VALUE"""),"勾選組合")</f>
        <v>勾選組合</v>
      </c>
      <c r="N70" s="5" t="str">
        <f ca="1">IFERROR(__xludf.DUMMYFUNCTION("""COMPUTED_VALUE"""),"得分")</f>
        <v>得分</v>
      </c>
      <c r="O70" s="5" t="str">
        <f ca="1">IFERROR(__xludf.DUMMYFUNCTION("""COMPUTED_VALUE"""),"勾選組合")</f>
        <v>勾選組合</v>
      </c>
      <c r="P70" s="5" t="str">
        <f ca="1">IFERROR(__xludf.DUMMYFUNCTION("""COMPUTED_VALUE"""),"得分")</f>
        <v>得分</v>
      </c>
      <c r="Q70" s="5" t="str">
        <f ca="1">IFERROR(__xludf.DUMMYFUNCTION("""COMPUTED_VALUE"""),"勾選組合")</f>
        <v>勾選組合</v>
      </c>
      <c r="R70" s="5" t="str">
        <f ca="1">IFERROR(__xludf.DUMMYFUNCTION("""COMPUTED_VALUE"""),"得分")</f>
        <v>得分</v>
      </c>
      <c r="S70" s="5" t="str">
        <f ca="1">IFERROR(__xludf.DUMMYFUNCTION("""COMPUTED_VALUE"""),"勾選組合")</f>
        <v>勾選組合</v>
      </c>
      <c r="T70" s="5" t="str">
        <f ca="1">IFERROR(__xludf.DUMMYFUNCTION("""COMPUTED_VALUE"""),"得分")</f>
        <v>得分</v>
      </c>
      <c r="U70" s="5" t="str">
        <f ca="1">IFERROR(__xludf.DUMMYFUNCTION("""COMPUTED_VALUE"""),"勾選組合")</f>
        <v>勾選組合</v>
      </c>
      <c r="V70" s="5" t="str">
        <f ca="1">IFERROR(__xludf.DUMMYFUNCTION("""COMPUTED_VALUE"""),"得分")</f>
        <v>得分</v>
      </c>
      <c r="W70" s="5" t="str">
        <f ca="1">IFERROR(__xludf.DUMMYFUNCTION("""COMPUTED_VALUE"""),"勾選組合")</f>
        <v>勾選組合</v>
      </c>
      <c r="X70" s="5" t="str">
        <f ca="1">IFERROR(__xludf.DUMMYFUNCTION("""COMPUTED_VALUE"""),"得分")</f>
        <v>得分</v>
      </c>
      <c r="Y70" s="5" t="str">
        <f ca="1">IFERROR(__xludf.DUMMYFUNCTION("""COMPUTED_VALUE"""),"勾選組合")</f>
        <v>勾選組合</v>
      </c>
      <c r="Z70" s="5" t="str">
        <f ca="1">IFERROR(__xludf.DUMMYFUNCTION("""COMPUTED_VALUE"""),"得分")</f>
        <v>得分</v>
      </c>
      <c r="AA70" s="25" t="str">
        <f ca="1">IFERROR(__xludf.DUMMYFUNCTION("""COMPUTED_VALUE"""),"F1-b2-2(t)")</f>
        <v>F1-b2-2(t)</v>
      </c>
      <c r="AB70" s="20"/>
      <c r="AC70" s="22"/>
      <c r="AD70" s="2"/>
      <c r="AE70" s="2"/>
      <c r="AF70" s="2"/>
    </row>
    <row r="71" spans="1:32" ht="15.6">
      <c r="A71" s="36" t="str">
        <f ca="1">IFERROR(__xludf.DUMMYFUNCTION("""COMPUTED_VALUE"""),"過電流保護裝置通過認證")</f>
        <v>過電流保護裝置通過認證</v>
      </c>
      <c r="B71" s="10" t="b">
        <f ca="1">IFERROR(__xludf.DUMMYFUNCTION("""COMPUTED_VALUE"""),TRUE)</f>
        <v>1</v>
      </c>
      <c r="C71" s="11" t="str">
        <f ca="1">IFERROR(__xludf.DUMMYFUNCTION("""COMPUTED_VALUE"""),"取得 UL 1973 認證證書")</f>
        <v>取得 UL 1973 認證證書</v>
      </c>
      <c r="D71" s="33">
        <f ca="1">IFERROR(__xludf.DUMMYFUNCTION("""COMPUTED_VALUE"""),9.3)</f>
        <v>9.3000000000000007</v>
      </c>
      <c r="E71" s="35">
        <f ca="1">IFERROR(__xludf.DUMMYFUNCTION("""COMPUTED_VALUE"""),0.6)</f>
        <v>0.6</v>
      </c>
      <c r="F71" s="38">
        <f ca="1">IFERROR(__xludf.DUMMYFUNCTION("""COMPUTED_VALUE"""),0.885999999999999)</f>
        <v>0.88599999999999901</v>
      </c>
      <c r="G71" s="38">
        <f ca="1">IFERROR(__xludf.DUMMYFUNCTION("""COMPUTED_VALUE"""),0.114)</f>
        <v>0.114</v>
      </c>
      <c r="H71" s="6"/>
      <c r="I71" s="11" t="str">
        <f ca="1">IFERROR(__xludf.DUMMYFUNCTION("""COMPUTED_VALUE"""),"取得 UL 1973 認證證書")</f>
        <v>取得 UL 1973 認證證書</v>
      </c>
      <c r="J71" s="12">
        <f ca="1">IFERROR(__xludf.DUMMYFUNCTION("""COMPUTED_VALUE"""),8.6)</f>
        <v>8.6</v>
      </c>
      <c r="K71" s="13" t="b">
        <f ca="1">IFERROR(__xludf.DUMMYFUNCTION("""COMPUTED_VALUE"""),TRUE)</f>
        <v>1</v>
      </c>
      <c r="L71" s="33">
        <f ca="1">IFERROR(__xludf.DUMMYFUNCTION("""COMPUTED_VALUE"""),9.3)</f>
        <v>9.3000000000000007</v>
      </c>
      <c r="M71" s="13" t="b">
        <f ca="1">IFERROR(__xludf.DUMMYFUNCTION("""COMPUTED_VALUE"""),FALSE)</f>
        <v>0</v>
      </c>
      <c r="N71" s="33">
        <f ca="1">IFERROR(__xludf.DUMMYFUNCTION("""COMPUTED_VALUE"""),7.8)</f>
        <v>7.8</v>
      </c>
      <c r="O71" s="13" t="b">
        <f ca="1">IFERROR(__xludf.DUMMYFUNCTION("""COMPUTED_VALUE"""),TRUE)</f>
        <v>1</v>
      </c>
      <c r="P71" s="33">
        <f ca="1">IFERROR(__xludf.DUMMYFUNCTION("""COMPUTED_VALUE"""),9)</f>
        <v>9</v>
      </c>
      <c r="Q71" s="13" t="b">
        <f ca="1">IFERROR(__xludf.DUMMYFUNCTION("""COMPUTED_VALUE"""),FALSE)</f>
        <v>0</v>
      </c>
      <c r="R71" s="33">
        <f ca="1">IFERROR(__xludf.DUMMYFUNCTION("""COMPUTED_VALUE"""),9)</f>
        <v>9</v>
      </c>
      <c r="S71" s="13" t="b">
        <f ca="1">IFERROR(__xludf.DUMMYFUNCTION("""COMPUTED_VALUE"""),TRUE)</f>
        <v>1</v>
      </c>
      <c r="T71" s="33">
        <f ca="1">IFERROR(__xludf.DUMMYFUNCTION("""COMPUTED_VALUE"""),9)</f>
        <v>9</v>
      </c>
      <c r="U71" s="13" t="b">
        <f ca="1">IFERROR(__xludf.DUMMYFUNCTION("""COMPUTED_VALUE"""),TRUE)</f>
        <v>1</v>
      </c>
      <c r="V71" s="33">
        <f ca="1">IFERROR(__xludf.DUMMYFUNCTION("""COMPUTED_VALUE"""),8.6)</f>
        <v>8.6</v>
      </c>
      <c r="W71" s="13" t="b">
        <f ca="1">IFERROR(__xludf.DUMMYFUNCTION("""COMPUTED_VALUE"""),FALSE)</f>
        <v>0</v>
      </c>
      <c r="X71" s="33">
        <f ca="1">IFERROR(__xludf.DUMMYFUNCTION("""COMPUTED_VALUE"""),8.6)</f>
        <v>8.6</v>
      </c>
      <c r="Y71" s="13" t="b">
        <f ca="1">IFERROR(__xludf.DUMMYFUNCTION("""COMPUTED_VALUE"""),FALSE)</f>
        <v>0</v>
      </c>
      <c r="Z71" s="33">
        <f ca="1">IFERROR(__xludf.DUMMYFUNCTION("""COMPUTED_VALUE"""),8.5)</f>
        <v>8.5</v>
      </c>
      <c r="AA71" s="37">
        <f ca="1">IFERROR(__xludf.DUMMYFUNCTION("""COMPUTED_VALUE"""),0.1083)</f>
        <v>0.10829999999999999</v>
      </c>
      <c r="AB71" s="37">
        <f ca="1">IFERROR(__xludf.DUMMYFUNCTION("""COMPUTED_VALUE"""),0.114)</f>
        <v>0.114</v>
      </c>
      <c r="AC71" s="37">
        <f ca="1">IFERROR(__xludf.DUMMYFUNCTION("""COMPUTED_VALUE"""),0.1197)</f>
        <v>0.1197</v>
      </c>
      <c r="AD71" s="2"/>
      <c r="AE71" s="2"/>
      <c r="AF71" s="2"/>
    </row>
    <row r="72" spans="1:32" ht="15.6">
      <c r="A72" s="34"/>
      <c r="B72" s="10" t="b">
        <f ca="1">IFERROR(__xludf.DUMMYFUNCTION("""COMPUTED_VALUE"""),TRUE)</f>
        <v>1</v>
      </c>
      <c r="C72" s="11" t="str">
        <f ca="1">IFERROR(__xludf.DUMMYFUNCTION("""COMPUTED_VALUE"""),"取得 CNS 62619 認證證書")</f>
        <v>取得 CNS 62619 認證證書</v>
      </c>
      <c r="D72" s="34"/>
      <c r="E72" s="34"/>
      <c r="F72" s="34"/>
      <c r="G72" s="34"/>
      <c r="H72" s="6"/>
      <c r="I72" s="11" t="str">
        <f ca="1">IFERROR(__xludf.DUMMYFUNCTION("""COMPUTED_VALUE"""),"取得 CNS 62619 認證證書")</f>
        <v>取得 CNS 62619 認證證書</v>
      </c>
      <c r="J72" s="12">
        <f ca="1">IFERROR(__xludf.DUMMYFUNCTION("""COMPUTED_VALUE"""),8.6)</f>
        <v>8.6</v>
      </c>
      <c r="K72" s="14" t="b">
        <f ca="1">IFERROR(__xludf.DUMMYFUNCTION("""COMPUTED_VALUE"""),TRUE)</f>
        <v>1</v>
      </c>
      <c r="L72" s="34"/>
      <c r="M72" s="14" t="b">
        <f ca="1">IFERROR(__xludf.DUMMYFUNCTION("""COMPUTED_VALUE"""),FALSE)</f>
        <v>0</v>
      </c>
      <c r="N72" s="34"/>
      <c r="O72" s="14" t="b">
        <f ca="1">IFERROR(__xludf.DUMMYFUNCTION("""COMPUTED_VALUE"""),TRUE)</f>
        <v>1</v>
      </c>
      <c r="P72" s="34"/>
      <c r="Q72" s="14" t="b">
        <f ca="1">IFERROR(__xludf.DUMMYFUNCTION("""COMPUTED_VALUE"""),TRUE)</f>
        <v>1</v>
      </c>
      <c r="R72" s="34"/>
      <c r="S72" s="14" t="b">
        <f ca="1">IFERROR(__xludf.DUMMYFUNCTION("""COMPUTED_VALUE"""),FALSE)</f>
        <v>0</v>
      </c>
      <c r="T72" s="34"/>
      <c r="U72" s="14" t="b">
        <f ca="1">IFERROR(__xludf.DUMMYFUNCTION("""COMPUTED_VALUE"""),FALSE)</f>
        <v>0</v>
      </c>
      <c r="V72" s="34"/>
      <c r="W72" s="14" t="b">
        <f ca="1">IFERROR(__xludf.DUMMYFUNCTION("""COMPUTED_VALUE"""),TRUE)</f>
        <v>1</v>
      </c>
      <c r="X72" s="34"/>
      <c r="Y72" s="14" t="b">
        <f ca="1">IFERROR(__xludf.DUMMYFUNCTION("""COMPUTED_VALUE"""),FALSE)</f>
        <v>0</v>
      </c>
      <c r="Z72" s="34"/>
      <c r="AA72" s="34"/>
      <c r="AB72" s="34"/>
      <c r="AC72" s="34"/>
      <c r="AD72" s="2"/>
      <c r="AE72" s="2"/>
      <c r="AF72" s="2"/>
    </row>
    <row r="73" spans="1:32" ht="15.6">
      <c r="A73" s="27"/>
      <c r="B73" s="10" t="b">
        <f ca="1">IFERROR(__xludf.DUMMYFUNCTION("""COMPUTED_VALUE"""),TRUE)</f>
        <v>1</v>
      </c>
      <c r="C73" s="11" t="str">
        <f ca="1">IFERROR(__xludf.DUMMYFUNCTION("""COMPUTED_VALUE"""),"符合 IEC 60730 之測試報告")</f>
        <v>符合 IEC 60730 之測試報告</v>
      </c>
      <c r="D73" s="27"/>
      <c r="E73" s="27"/>
      <c r="F73" s="34"/>
      <c r="G73" s="34"/>
      <c r="H73" s="6"/>
      <c r="I73" s="11" t="str">
        <f ca="1">IFERROR(__xludf.DUMMYFUNCTION("""COMPUTED_VALUE"""),"符合 IEC 60730 之測試報告")</f>
        <v>符合 IEC 60730 之測試報告</v>
      </c>
      <c r="J73" s="12">
        <f ca="1">IFERROR(__xludf.DUMMYFUNCTION("""COMPUTED_VALUE"""),8.5)</f>
        <v>8.5</v>
      </c>
      <c r="K73" s="13" t="b">
        <f ca="1">IFERROR(__xludf.DUMMYFUNCTION("""COMPUTED_VALUE"""),TRUE)</f>
        <v>1</v>
      </c>
      <c r="L73" s="27"/>
      <c r="M73" s="13" t="b">
        <f ca="1">IFERROR(__xludf.DUMMYFUNCTION("""COMPUTED_VALUE"""),FALSE)</f>
        <v>0</v>
      </c>
      <c r="N73" s="27"/>
      <c r="O73" s="13" t="b">
        <f ca="1">IFERROR(__xludf.DUMMYFUNCTION("""COMPUTED_VALUE"""),FALSE)</f>
        <v>0</v>
      </c>
      <c r="P73" s="27"/>
      <c r="Q73" s="13" t="b">
        <f ca="1">IFERROR(__xludf.DUMMYFUNCTION("""COMPUTED_VALUE"""),TRUE)</f>
        <v>1</v>
      </c>
      <c r="R73" s="27"/>
      <c r="S73" s="13" t="b">
        <f ca="1">IFERROR(__xludf.DUMMYFUNCTION("""COMPUTED_VALUE"""),TRUE)</f>
        <v>1</v>
      </c>
      <c r="T73" s="27"/>
      <c r="U73" s="13" t="b">
        <f ca="1">IFERROR(__xludf.DUMMYFUNCTION("""COMPUTED_VALUE"""),FALSE)</f>
        <v>0</v>
      </c>
      <c r="V73" s="27"/>
      <c r="W73" s="13" t="b">
        <f ca="1">IFERROR(__xludf.DUMMYFUNCTION("""COMPUTED_VALUE"""),FALSE)</f>
        <v>0</v>
      </c>
      <c r="X73" s="27"/>
      <c r="Y73" s="13" t="b">
        <f ca="1">IFERROR(__xludf.DUMMYFUNCTION("""COMPUTED_VALUE"""),TRUE)</f>
        <v>1</v>
      </c>
      <c r="Z73" s="27"/>
      <c r="AA73" s="34"/>
      <c r="AB73" s="34"/>
      <c r="AC73" s="34"/>
      <c r="AD73" s="2"/>
      <c r="AE73" s="2"/>
      <c r="AF73" s="2"/>
    </row>
    <row r="74" spans="1:32" ht="15.6">
      <c r="A74" s="26" t="str">
        <f ca="1">IFERROR(__xludf.DUMMYFUNCTION("""COMPUTED_VALUE"""),"過電流保護裝置定期檢修")</f>
        <v>過電流保護裝置定期檢修</v>
      </c>
      <c r="B74" s="28" t="str">
        <f ca="1">IFERROR(__xludf.DUMMYFUNCTION("""COMPUTED_VALUE"""),"過電流保護裝置二年檢修1次")</f>
        <v>過電流保護裝置二年檢修1次</v>
      </c>
      <c r="C74" s="29"/>
      <c r="D74" s="32">
        <f ca="1">IFERROR(__xludf.DUMMYFUNCTION("""COMPUTED_VALUE"""),8.2)</f>
        <v>8.1999999999999993</v>
      </c>
      <c r="E74" s="39">
        <f ca="1">IFERROR(__xludf.DUMMYFUNCTION("""COMPUTED_VALUE"""),0.4)</f>
        <v>0.4</v>
      </c>
      <c r="F74" s="34"/>
      <c r="G74" s="34"/>
      <c r="H74" s="6"/>
      <c r="I74" s="7" t="str">
        <f ca="1">IFERROR(__xludf.DUMMYFUNCTION("""COMPUTED_VALUE"""),"過電流保護裝置一年檢修1次")</f>
        <v>過電流保護裝置一年檢修1次</v>
      </c>
      <c r="J74" s="8">
        <f ca="1">IFERROR(__xludf.DUMMYFUNCTION("""COMPUTED_VALUE"""),8.5)</f>
        <v>8.5</v>
      </c>
      <c r="K74" s="2"/>
      <c r="L74" s="9"/>
      <c r="M74" s="2"/>
      <c r="N74" s="9"/>
      <c r="O74" s="2"/>
      <c r="P74" s="9"/>
      <c r="Q74" s="2"/>
      <c r="R74" s="9"/>
      <c r="S74" s="2"/>
      <c r="T74" s="9"/>
      <c r="U74" s="2"/>
      <c r="V74" s="9"/>
      <c r="W74" s="2"/>
      <c r="X74" s="9"/>
      <c r="Y74" s="2"/>
      <c r="Z74" s="9"/>
      <c r="AA74" s="34"/>
      <c r="AB74" s="34"/>
      <c r="AC74" s="34"/>
      <c r="AD74" s="2"/>
      <c r="AE74" s="2"/>
      <c r="AF74" s="2"/>
    </row>
    <row r="75" spans="1:32" ht="15.6">
      <c r="A75" s="34"/>
      <c r="B75" s="40"/>
      <c r="C75" s="41"/>
      <c r="D75" s="34"/>
      <c r="E75" s="34"/>
      <c r="F75" s="34"/>
      <c r="G75" s="34"/>
      <c r="H75" s="6"/>
      <c r="I75" s="7" t="str">
        <f ca="1">IFERROR(__xludf.DUMMYFUNCTION("""COMPUTED_VALUE"""),"過電流保護裝置二年檢修1次")</f>
        <v>過電流保護裝置二年檢修1次</v>
      </c>
      <c r="J75" s="8">
        <f ca="1">IFERROR(__xludf.DUMMYFUNCTION("""COMPUTED_VALUE"""),8.2)</f>
        <v>8.1999999999999993</v>
      </c>
      <c r="K75" s="2"/>
      <c r="L75" s="9"/>
      <c r="M75" s="2"/>
      <c r="N75" s="9"/>
      <c r="O75" s="2"/>
      <c r="P75" s="9"/>
      <c r="Q75" s="2"/>
      <c r="R75" s="9"/>
      <c r="S75" s="2"/>
      <c r="T75" s="9"/>
      <c r="U75" s="2"/>
      <c r="V75" s="9"/>
      <c r="W75" s="2"/>
      <c r="X75" s="9"/>
      <c r="Y75" s="2"/>
      <c r="Z75" s="9"/>
      <c r="AA75" s="34"/>
      <c r="AB75" s="34"/>
      <c r="AC75" s="34"/>
      <c r="AD75" s="2"/>
      <c r="AE75" s="2"/>
      <c r="AF75" s="2"/>
    </row>
    <row r="76" spans="1:32" ht="15.6">
      <c r="A76" s="27"/>
      <c r="B76" s="30"/>
      <c r="C76" s="31"/>
      <c r="D76" s="27"/>
      <c r="E76" s="27"/>
      <c r="F76" s="27"/>
      <c r="G76" s="27"/>
      <c r="H76" s="6"/>
      <c r="I76" s="7" t="str">
        <f ca="1">IFERROR(__xludf.DUMMYFUNCTION("""COMPUTED_VALUE"""),"過電流保護裝置未定期檢修")</f>
        <v>過電流保護裝置未定期檢修</v>
      </c>
      <c r="J76" s="8">
        <f ca="1">IFERROR(__xludf.DUMMYFUNCTION("""COMPUTED_VALUE"""),7.5)</f>
        <v>7.5</v>
      </c>
      <c r="K76" s="2"/>
      <c r="L76" s="9"/>
      <c r="M76" s="2"/>
      <c r="N76" s="9"/>
      <c r="O76" s="2"/>
      <c r="P76" s="9"/>
      <c r="Q76" s="2"/>
      <c r="R76" s="9"/>
      <c r="S76" s="2"/>
      <c r="T76" s="9"/>
      <c r="U76" s="2"/>
      <c r="V76" s="9"/>
      <c r="W76" s="2"/>
      <c r="X76" s="9"/>
      <c r="Y76" s="2"/>
      <c r="Z76" s="9"/>
      <c r="AA76" s="27"/>
      <c r="AB76" s="27"/>
      <c r="AC76" s="27"/>
      <c r="AD76" s="2"/>
      <c r="AE76" s="2"/>
      <c r="AF76" s="2"/>
    </row>
    <row r="77" spans="1:32" ht="15.6">
      <c r="A77" s="19" t="str">
        <f ca="1">IFERROR(__xludf.DUMMYFUNCTION("IMPORTRANGE(""https://docs.google.com/spreadsheets/d/1g3k-_bsDSgGx-LrtXVu_8pmZey8G_3GZEmdJXJYtcxo/edit?gid=118479002#gid=118479002"",""'F1-c1-1'!A1:AC11"")"),"充電上限設定不當 F1-c1-1(t)")</f>
        <v>充電上限設定不當 F1-c1-1(t)</v>
      </c>
      <c r="B77" s="20"/>
      <c r="C77" s="20"/>
      <c r="D77" s="20"/>
      <c r="E77" s="20"/>
      <c r="F77" s="20"/>
      <c r="G77" s="20"/>
      <c r="H77" s="1"/>
      <c r="I77" s="21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2"/>
      <c r="AA77" s="23"/>
      <c r="AB77" s="24"/>
      <c r="AC77" s="24"/>
      <c r="AD77" s="2"/>
      <c r="AE77" s="2"/>
      <c r="AF77" s="2"/>
    </row>
    <row r="78" spans="1:32" ht="46.8">
      <c r="A78" s="3" t="str">
        <f ca="1">IFERROR(__xludf.DUMMYFUNCTION("""COMPUTED_VALUE"""),"確保可靠度的手段")</f>
        <v>確保可靠度的手段</v>
      </c>
      <c r="B78" s="25" t="str">
        <f ca="1">IFERROR(__xludf.DUMMYFUNCTION("""COMPUTED_VALUE"""),"確證方式")</f>
        <v>確證方式</v>
      </c>
      <c r="C78" s="22"/>
      <c r="D78" s="3" t="str">
        <f ca="1">IFERROR(__xludf.DUMMYFUNCTION("""COMPUTED_VALUE"""),"得分")</f>
        <v>得分</v>
      </c>
      <c r="E78" s="3" t="str">
        <f ca="1">IFERROR(__xludf.DUMMYFUNCTION("""COMPUTED_VALUE"""),"權重")</f>
        <v>權重</v>
      </c>
      <c r="F78" s="3" t="str">
        <f ca="1">IFERROR(__xludf.DUMMYFUNCTION("""COMPUTED_VALUE"""),"可靠度概率")</f>
        <v>可靠度概率</v>
      </c>
      <c r="G78" s="18" t="str">
        <f ca="1">IFERROR(__xludf.DUMMYFUNCTION("""COMPUTED_VALUE"""),"F1-c1-1(t)")</f>
        <v>F1-c1-1(t)</v>
      </c>
      <c r="H78" s="4"/>
      <c r="I78" s="5" t="str">
        <f ca="1">IFERROR(__xludf.DUMMYFUNCTION("""COMPUTED_VALUE"""),"調查問項")</f>
        <v>調查問項</v>
      </c>
      <c r="J78" s="5" t="str">
        <f ca="1">IFERROR(__xludf.DUMMYFUNCTION("""COMPUTED_VALUE"""),"分項分數")</f>
        <v>分項分數</v>
      </c>
      <c r="K78" s="5" t="str">
        <f ca="1">IFERROR(__xludf.DUMMYFUNCTION("""COMPUTED_VALUE"""),"勾選組合")</f>
        <v>勾選組合</v>
      </c>
      <c r="L78" s="5" t="str">
        <f ca="1">IFERROR(__xludf.DUMMYFUNCTION("""COMPUTED_VALUE"""),"得分")</f>
        <v>得分</v>
      </c>
      <c r="M78" s="5" t="str">
        <f ca="1">IFERROR(__xludf.DUMMYFUNCTION("""COMPUTED_VALUE"""),"勾選組合")</f>
        <v>勾選組合</v>
      </c>
      <c r="N78" s="5" t="str">
        <f ca="1">IFERROR(__xludf.DUMMYFUNCTION("""COMPUTED_VALUE"""),"得分")</f>
        <v>得分</v>
      </c>
      <c r="O78" s="5" t="str">
        <f ca="1">IFERROR(__xludf.DUMMYFUNCTION("""COMPUTED_VALUE"""),"勾選組合")</f>
        <v>勾選組合</v>
      </c>
      <c r="P78" s="5" t="str">
        <f ca="1">IFERROR(__xludf.DUMMYFUNCTION("""COMPUTED_VALUE"""),"得分")</f>
        <v>得分</v>
      </c>
      <c r="Q78" s="5" t="str">
        <f ca="1">IFERROR(__xludf.DUMMYFUNCTION("""COMPUTED_VALUE"""),"勾選組合")</f>
        <v>勾選組合</v>
      </c>
      <c r="R78" s="5" t="str">
        <f ca="1">IFERROR(__xludf.DUMMYFUNCTION("""COMPUTED_VALUE"""),"得分")</f>
        <v>得分</v>
      </c>
      <c r="S78" s="5" t="str">
        <f ca="1">IFERROR(__xludf.DUMMYFUNCTION("""COMPUTED_VALUE"""),"勾選組合")</f>
        <v>勾選組合</v>
      </c>
      <c r="T78" s="5" t="str">
        <f ca="1">IFERROR(__xludf.DUMMYFUNCTION("""COMPUTED_VALUE"""),"得分")</f>
        <v>得分</v>
      </c>
      <c r="U78" s="5" t="str">
        <f ca="1">IFERROR(__xludf.DUMMYFUNCTION("""COMPUTED_VALUE"""),"勾選組合")</f>
        <v>勾選組合</v>
      </c>
      <c r="V78" s="5" t="str">
        <f ca="1">IFERROR(__xludf.DUMMYFUNCTION("""COMPUTED_VALUE"""),"得分")</f>
        <v>得分</v>
      </c>
      <c r="W78" s="5" t="str">
        <f ca="1">IFERROR(__xludf.DUMMYFUNCTION("""COMPUTED_VALUE"""),"勾選組合")</f>
        <v>勾選組合</v>
      </c>
      <c r="X78" s="5" t="str">
        <f ca="1">IFERROR(__xludf.DUMMYFUNCTION("""COMPUTED_VALUE"""),"得分")</f>
        <v>得分</v>
      </c>
      <c r="Y78" s="5" t="str">
        <f ca="1">IFERROR(__xludf.DUMMYFUNCTION("""COMPUTED_VALUE"""),"勾選組合")</f>
        <v>勾選組合</v>
      </c>
      <c r="Z78" s="5" t="str">
        <f ca="1">IFERROR(__xludf.DUMMYFUNCTION("""COMPUTED_VALUE"""),"得分")</f>
        <v>得分</v>
      </c>
      <c r="AA78" s="25" t="str">
        <f ca="1">IFERROR(__xludf.DUMMYFUNCTION("""COMPUTED_VALUE"""),"F1-c1-1(t)")</f>
        <v>F1-c1-1(t)</v>
      </c>
      <c r="AB78" s="20"/>
      <c r="AC78" s="22"/>
      <c r="AD78" s="2"/>
      <c r="AE78" s="2"/>
      <c r="AF78" s="2"/>
    </row>
    <row r="79" spans="1:32" ht="15.6">
      <c r="A79" s="26" t="str">
        <f ca="1">IFERROR(__xludf.DUMMYFUNCTION("""COMPUTED_VALUE"""),"符合規定的充電上限設定")</f>
        <v>符合規定的充電上限設定</v>
      </c>
      <c r="B79" s="28" t="str">
        <f ca="1">IFERROR(__xludf.DUMMYFUNCTION("""COMPUTED_VALUE"""),"經由第三方查核確認")</f>
        <v>經由第三方查核確認</v>
      </c>
      <c r="C79" s="29"/>
      <c r="D79" s="32">
        <f ca="1">IFERROR(__xludf.DUMMYFUNCTION("""COMPUTED_VALUE"""),8.5)</f>
        <v>8.5</v>
      </c>
      <c r="E79" s="39">
        <f ca="1">IFERROR(__xludf.DUMMYFUNCTION("""COMPUTED_VALUE"""),0.25)</f>
        <v>0.25</v>
      </c>
      <c r="F79" s="38">
        <f ca="1">IFERROR(__xludf.DUMMYFUNCTION("""COMPUTED_VALUE"""),0.8835)</f>
        <v>0.88349999999999995</v>
      </c>
      <c r="G79" s="38">
        <f ca="1">IFERROR(__xludf.DUMMYFUNCTION("""COMPUTED_VALUE"""),0.1165)</f>
        <v>0.11650000000000001</v>
      </c>
      <c r="H79" s="6"/>
      <c r="I79" s="7" t="str">
        <f ca="1">IFERROR(__xludf.DUMMYFUNCTION("""COMPUTED_VALUE"""),"經由第三方查核確認")</f>
        <v>經由第三方查核確認</v>
      </c>
      <c r="J79" s="8">
        <f ca="1">IFERROR(__xludf.DUMMYFUNCTION("""COMPUTED_VALUE"""),8.5)</f>
        <v>8.5</v>
      </c>
      <c r="K79" s="2"/>
      <c r="L79" s="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37">
        <f ca="1">IFERROR(__xludf.DUMMYFUNCTION("""COMPUTED_VALUE"""),0.110675)</f>
        <v>0.110675</v>
      </c>
      <c r="AB79" s="37">
        <f ca="1">IFERROR(__xludf.DUMMYFUNCTION("""COMPUTED_VALUE"""),0.1165)</f>
        <v>0.11650000000000001</v>
      </c>
      <c r="AC79" s="37">
        <f ca="1">IFERROR(__xludf.DUMMYFUNCTION("""COMPUTED_VALUE"""),0.122325)</f>
        <v>0.122325</v>
      </c>
      <c r="AD79" s="2"/>
      <c r="AE79" s="2"/>
      <c r="AF79" s="2"/>
    </row>
    <row r="80" spans="1:32" ht="15.6">
      <c r="A80" s="27"/>
      <c r="B80" s="30"/>
      <c r="C80" s="31"/>
      <c r="D80" s="27"/>
      <c r="E80" s="27"/>
      <c r="F80" s="34"/>
      <c r="G80" s="34"/>
      <c r="H80" s="6"/>
      <c r="I80" s="7" t="str">
        <f ca="1">IFERROR(__xludf.DUMMYFUNCTION("""COMPUTED_VALUE"""),"未經由第三方查核確認")</f>
        <v>未經由第三方查核確認</v>
      </c>
      <c r="J80" s="8">
        <f ca="1">IFERROR(__xludf.DUMMYFUNCTION("""COMPUTED_VALUE"""),7.5)</f>
        <v>7.5</v>
      </c>
      <c r="K80" s="2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4"/>
      <c r="AB80" s="34"/>
      <c r="AC80" s="34"/>
      <c r="AD80" s="2"/>
      <c r="AE80" s="2"/>
      <c r="AF80" s="2"/>
    </row>
    <row r="81" spans="1:32" ht="15.6">
      <c r="A81" s="36" t="str">
        <f ca="1">IFERROR(__xludf.DUMMYFUNCTION("""COMPUTED_VALUE"""),"充電上限受到遠端監控")</f>
        <v>充電上限受到遠端監控</v>
      </c>
      <c r="B81" s="10" t="b">
        <f ca="1">IFERROR(__xludf.DUMMYFUNCTION("""COMPUTED_VALUE"""),TRUE)</f>
        <v>1</v>
      </c>
      <c r="C81" s="11" t="str">
        <f ca="1">IFERROR(__xludf.DUMMYFUNCTION("""COMPUTED_VALUE"""),"模組充電上限受到遠端監控")</f>
        <v>模組充電上限受到遠端監控</v>
      </c>
      <c r="D81" s="33">
        <f ca="1">IFERROR(__xludf.DUMMYFUNCTION("""COMPUTED_VALUE"""),9)</f>
        <v>9</v>
      </c>
      <c r="E81" s="35">
        <f ca="1">IFERROR(__xludf.DUMMYFUNCTION("""COMPUTED_VALUE"""),0.25)</f>
        <v>0.25</v>
      </c>
      <c r="F81" s="34"/>
      <c r="G81" s="34"/>
      <c r="H81" s="6"/>
      <c r="I81" s="11" t="str">
        <f ca="1">IFERROR(__xludf.DUMMYFUNCTION("""COMPUTED_VALUE"""),"模組充電上限受到遠端監控")</f>
        <v>模組充電上限受到遠端監控</v>
      </c>
      <c r="J81" s="12">
        <f ca="1">IFERROR(__xludf.DUMMYFUNCTION("""COMPUTED_VALUE"""),8.5)</f>
        <v>8.5</v>
      </c>
      <c r="K81" s="13" t="b">
        <f ca="1">IFERROR(__xludf.DUMMYFUNCTION("""COMPUTED_VALUE"""),TRUE)</f>
        <v>1</v>
      </c>
      <c r="L81" s="33">
        <f ca="1">IFERROR(__xludf.DUMMYFUNCTION("""COMPUTED_VALUE"""),9)</f>
        <v>9</v>
      </c>
      <c r="M81" s="13" t="b">
        <f ca="1">IFERROR(__xludf.DUMMYFUNCTION("""COMPUTED_VALUE"""),FALSE)</f>
        <v>0</v>
      </c>
      <c r="N81" s="33">
        <f ca="1">IFERROR(__xludf.DUMMYFUNCTION("""COMPUTED_VALUE"""),7.8)</f>
        <v>7.8</v>
      </c>
      <c r="O81" s="13" t="b">
        <f ca="1">IFERROR(__xludf.DUMMYFUNCTION("""COMPUTED_VALUE"""),TRUE)</f>
        <v>1</v>
      </c>
      <c r="P81" s="33">
        <f ca="1">IFERROR(__xludf.DUMMYFUNCTION("""COMPUTED_VALUE"""),8.5)</f>
        <v>8.5</v>
      </c>
      <c r="Q81" s="13" t="b">
        <f ca="1">IFERROR(__xludf.DUMMYFUNCTION("""COMPUTED_VALUE"""),FALSE)</f>
        <v>0</v>
      </c>
      <c r="R81" s="33">
        <f ca="1">IFERROR(__xludf.DUMMYFUNCTION("""COMPUTED_VALUE"""),8.5)</f>
        <v>8.5</v>
      </c>
      <c r="S81" s="2"/>
      <c r="T81" s="2"/>
      <c r="U81" s="2"/>
      <c r="V81" s="2"/>
      <c r="W81" s="2"/>
      <c r="X81" s="2"/>
      <c r="Y81" s="2"/>
      <c r="Z81" s="2"/>
      <c r="AA81" s="34"/>
      <c r="AB81" s="34"/>
      <c r="AC81" s="34"/>
      <c r="AD81" s="2"/>
      <c r="AE81" s="2"/>
      <c r="AF81" s="2"/>
    </row>
    <row r="82" spans="1:32" ht="15.6">
      <c r="A82" s="27"/>
      <c r="B82" s="10" t="b">
        <f ca="1">IFERROR(__xludf.DUMMYFUNCTION("""COMPUTED_VALUE"""),TRUE)</f>
        <v>1</v>
      </c>
      <c r="C82" s="11" t="str">
        <f ca="1">IFERROR(__xludf.DUMMYFUNCTION("""COMPUTED_VALUE"""),"機櫃充電上限受到遠端監控")</f>
        <v>機櫃充電上限受到遠端監控</v>
      </c>
      <c r="D82" s="27"/>
      <c r="E82" s="27"/>
      <c r="F82" s="34"/>
      <c r="G82" s="34"/>
      <c r="H82" s="6"/>
      <c r="I82" s="11" t="str">
        <f ca="1">IFERROR(__xludf.DUMMYFUNCTION("""COMPUTED_VALUE"""),"機櫃充電上限受到遠端監控")</f>
        <v>機櫃充電上限受到遠端監控</v>
      </c>
      <c r="J82" s="12">
        <f ca="1">IFERROR(__xludf.DUMMYFUNCTION("""COMPUTED_VALUE"""),8.5)</f>
        <v>8.5</v>
      </c>
      <c r="K82" s="14" t="b">
        <f ca="1">IFERROR(__xludf.DUMMYFUNCTION("""COMPUTED_VALUE"""),TRUE)</f>
        <v>1</v>
      </c>
      <c r="L82" s="27"/>
      <c r="M82" s="14" t="b">
        <f ca="1">IFERROR(__xludf.DUMMYFUNCTION("""COMPUTED_VALUE"""),FALSE)</f>
        <v>0</v>
      </c>
      <c r="N82" s="27"/>
      <c r="O82" s="14" t="b">
        <f ca="1">IFERROR(__xludf.DUMMYFUNCTION("""COMPUTED_VALUE"""),FALSE)</f>
        <v>0</v>
      </c>
      <c r="P82" s="27"/>
      <c r="Q82" s="14" t="b">
        <f ca="1">IFERROR(__xludf.DUMMYFUNCTION("""COMPUTED_VALUE"""),TRUE)</f>
        <v>1</v>
      </c>
      <c r="R82" s="27"/>
      <c r="S82" s="2"/>
      <c r="T82" s="2"/>
      <c r="U82" s="2"/>
      <c r="V82" s="2"/>
      <c r="W82" s="2"/>
      <c r="X82" s="2"/>
      <c r="Y82" s="2"/>
      <c r="Z82" s="2"/>
      <c r="AA82" s="34"/>
      <c r="AB82" s="34"/>
      <c r="AC82" s="34"/>
      <c r="AD82" s="2"/>
      <c r="AE82" s="2"/>
      <c r="AF82" s="2"/>
    </row>
    <row r="83" spans="1:32" ht="62.4">
      <c r="A83" s="36" t="str">
        <f ca="1">IFERROR(__xludf.DUMMYFUNCTION("""COMPUTED_VALUE"""),"充電上限異常發出警告訊號")</f>
        <v>充電上限異常發出警告訊號</v>
      </c>
      <c r="B83" s="10" t="b">
        <f ca="1">IFERROR(__xludf.DUMMYFUNCTION("""COMPUTED_VALUE"""),FALSE)</f>
        <v>0</v>
      </c>
      <c r="C83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83" s="33">
        <f ca="1">IFERROR(__xludf.DUMMYFUNCTION("""COMPUTED_VALUE"""),9)</f>
        <v>9</v>
      </c>
      <c r="E83" s="35">
        <f ca="1">IFERROR(__xludf.DUMMYFUNCTION("""COMPUTED_VALUE"""),0.4)</f>
        <v>0.4</v>
      </c>
      <c r="F83" s="34"/>
      <c r="G83" s="34"/>
      <c r="H83" s="6"/>
      <c r="I83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83" s="12">
        <f ca="1">IFERROR(__xludf.DUMMYFUNCTION("""COMPUTED_VALUE"""),8.8)</f>
        <v>8.8000000000000007</v>
      </c>
      <c r="K83" s="13" t="b">
        <f ca="1">IFERROR(__xludf.DUMMYFUNCTION("""COMPUTED_VALUE"""),TRUE)</f>
        <v>1</v>
      </c>
      <c r="L83" s="33">
        <f ca="1">IFERROR(__xludf.DUMMYFUNCTION("""COMPUTED_VALUE"""),9.2)</f>
        <v>9.1999999999999993</v>
      </c>
      <c r="M83" s="13" t="b">
        <f ca="1">IFERROR(__xludf.DUMMYFUNCTION("""COMPUTED_VALUE"""),FALSE)</f>
        <v>0</v>
      </c>
      <c r="N83" s="33">
        <f ca="1">IFERROR(__xludf.DUMMYFUNCTION("""COMPUTED_VALUE"""),7.6)</f>
        <v>7.6</v>
      </c>
      <c r="O83" s="13" t="b">
        <f ca="1">IFERROR(__xludf.DUMMYFUNCTION("""COMPUTED_VALUE"""),TRUE)</f>
        <v>1</v>
      </c>
      <c r="P83" s="33">
        <f ca="1">IFERROR(__xludf.DUMMYFUNCTION("""COMPUTED_VALUE"""),9)</f>
        <v>9</v>
      </c>
      <c r="Q83" s="13" t="b">
        <f ca="1">IFERROR(__xludf.DUMMYFUNCTION("""COMPUTED_VALUE"""),FALSE)</f>
        <v>0</v>
      </c>
      <c r="R83" s="33">
        <f ca="1">IFERROR(__xludf.DUMMYFUNCTION("""COMPUTED_VALUE"""),9)</f>
        <v>9</v>
      </c>
      <c r="S83" s="13" t="b">
        <f ca="1">IFERROR(__xludf.DUMMYFUNCTION("""COMPUTED_VALUE"""),TRUE)</f>
        <v>1</v>
      </c>
      <c r="T83" s="33">
        <f ca="1">IFERROR(__xludf.DUMMYFUNCTION("""COMPUTED_VALUE"""),9)</f>
        <v>9</v>
      </c>
      <c r="U83" s="13" t="b">
        <f ca="1">IFERROR(__xludf.DUMMYFUNCTION("""COMPUTED_VALUE"""),TRUE)</f>
        <v>1</v>
      </c>
      <c r="V83" s="33">
        <f ca="1">IFERROR(__xludf.DUMMYFUNCTION("""COMPUTED_VALUE"""),8.8)</f>
        <v>8.8000000000000007</v>
      </c>
      <c r="W83" s="13" t="b">
        <f ca="1">IFERROR(__xludf.DUMMYFUNCTION("""COMPUTED_VALUE"""),FALSE)</f>
        <v>0</v>
      </c>
      <c r="X83" s="33">
        <f ca="1">IFERROR(__xludf.DUMMYFUNCTION("""COMPUTED_VALUE"""),8.5)</f>
        <v>8.5</v>
      </c>
      <c r="Y83" s="13" t="b">
        <f ca="1">IFERROR(__xludf.DUMMYFUNCTION("""COMPUTED_VALUE"""),FALSE)</f>
        <v>0</v>
      </c>
      <c r="Z83" s="33">
        <f ca="1">IFERROR(__xludf.DUMMYFUNCTION("""COMPUTED_VALUE"""),8.5)</f>
        <v>8.5</v>
      </c>
      <c r="AA83" s="34"/>
      <c r="AB83" s="34"/>
      <c r="AC83" s="34"/>
      <c r="AD83" s="2"/>
      <c r="AE83" s="2"/>
      <c r="AF83" s="2"/>
    </row>
    <row r="84" spans="1:32" ht="31.2">
      <c r="A84" s="34"/>
      <c r="B84" s="10" t="b">
        <f ca="1">IFERROR(__xludf.DUMMYFUNCTION("""COMPUTED_VALUE"""),TRUE)</f>
        <v>1</v>
      </c>
      <c r="C84" s="11" t="str">
        <f ca="1">IFERROR(__xludf.DUMMYFUNCTION("""COMPUTED_VALUE"""),"BMS通過Test Report - IEC 60730-1 - Annex H測試")</f>
        <v>BMS通過Test Report - IEC 60730-1 - Annex H測試</v>
      </c>
      <c r="D84" s="34"/>
      <c r="E84" s="34"/>
      <c r="F84" s="34"/>
      <c r="G84" s="34"/>
      <c r="H84" s="6"/>
      <c r="I84" s="11" t="str">
        <f ca="1">IFERROR(__xludf.DUMMYFUNCTION("""COMPUTED_VALUE"""),"BMS通過Test Report - IEC 60730-1 - Annex H測試")</f>
        <v>BMS通過Test Report - IEC 60730-1 - Annex H測試</v>
      </c>
      <c r="J84" s="12">
        <f ca="1">IFERROR(__xludf.DUMMYFUNCTION("""COMPUTED_VALUE"""),8.5)</f>
        <v>8.5</v>
      </c>
      <c r="K84" s="14" t="b">
        <f ca="1">IFERROR(__xludf.DUMMYFUNCTION("""COMPUTED_VALUE"""),TRUE)</f>
        <v>1</v>
      </c>
      <c r="L84" s="34"/>
      <c r="M84" s="14" t="b">
        <f ca="1">IFERROR(__xludf.DUMMYFUNCTION("""COMPUTED_VALUE"""),FALSE)</f>
        <v>0</v>
      </c>
      <c r="N84" s="34"/>
      <c r="O84" s="14" t="b">
        <f ca="1">IFERROR(__xludf.DUMMYFUNCTION("""COMPUTED_VALUE"""),TRUE)</f>
        <v>1</v>
      </c>
      <c r="P84" s="34"/>
      <c r="Q84" s="14" t="b">
        <f ca="1">IFERROR(__xludf.DUMMYFUNCTION("""COMPUTED_VALUE"""),TRUE)</f>
        <v>1</v>
      </c>
      <c r="R84" s="34"/>
      <c r="S84" s="14" t="b">
        <f ca="1">IFERROR(__xludf.DUMMYFUNCTION("""COMPUTED_VALUE"""),FALSE)</f>
        <v>0</v>
      </c>
      <c r="T84" s="34"/>
      <c r="U84" s="14" t="b">
        <f ca="1">IFERROR(__xludf.DUMMYFUNCTION("""COMPUTED_VALUE"""),FALSE)</f>
        <v>0</v>
      </c>
      <c r="V84" s="34"/>
      <c r="W84" s="14" t="b">
        <f ca="1">IFERROR(__xludf.DUMMYFUNCTION("""COMPUTED_VALUE"""),TRUE)</f>
        <v>1</v>
      </c>
      <c r="X84" s="34"/>
      <c r="Y84" s="14" t="b">
        <f ca="1">IFERROR(__xludf.DUMMYFUNCTION("""COMPUTED_VALUE"""),FALSE)</f>
        <v>0</v>
      </c>
      <c r="Z84" s="34"/>
      <c r="AA84" s="34"/>
      <c r="AB84" s="34"/>
      <c r="AC84" s="34"/>
      <c r="AD84" s="2"/>
      <c r="AE84" s="2"/>
      <c r="AF84" s="2"/>
    </row>
    <row r="85" spans="1:32" ht="31.2">
      <c r="A85" s="27"/>
      <c r="B85" s="10" t="b">
        <f ca="1">IFERROR(__xludf.DUMMYFUNCTION("""COMPUTED_VALUE"""),TRUE)</f>
        <v>1</v>
      </c>
      <c r="C85" s="11" t="str">
        <f ca="1">IFERROR(__xludf.DUMMYFUNCTION("""COMPUTED_VALUE"""),"異常訊號可同時通知現場及遠端管理人員")</f>
        <v>異常訊號可同時通知現場及遠端管理人員</v>
      </c>
      <c r="D85" s="27"/>
      <c r="E85" s="27"/>
      <c r="F85" s="34"/>
      <c r="G85" s="34"/>
      <c r="H85" s="6"/>
      <c r="I85" s="11" t="str">
        <f ca="1">IFERROR(__xludf.DUMMYFUNCTION("""COMPUTED_VALUE"""),"異常訊號可同時通知現場及遠端管理人員")</f>
        <v>異常訊號可同時通知現場及遠端管理人員</v>
      </c>
      <c r="J85" s="12">
        <f ca="1">IFERROR(__xludf.DUMMYFUNCTION("""COMPUTED_VALUE"""),8.5)</f>
        <v>8.5</v>
      </c>
      <c r="K85" s="13" t="b">
        <f ca="1">IFERROR(__xludf.DUMMYFUNCTION("""COMPUTED_VALUE"""),TRUE)</f>
        <v>1</v>
      </c>
      <c r="L85" s="27"/>
      <c r="M85" s="13" t="b">
        <f ca="1">IFERROR(__xludf.DUMMYFUNCTION("""COMPUTED_VALUE"""),FALSE)</f>
        <v>0</v>
      </c>
      <c r="N85" s="27"/>
      <c r="O85" s="13" t="b">
        <f ca="1">IFERROR(__xludf.DUMMYFUNCTION("""COMPUTED_VALUE"""),FALSE)</f>
        <v>0</v>
      </c>
      <c r="P85" s="27"/>
      <c r="Q85" s="13" t="b">
        <f ca="1">IFERROR(__xludf.DUMMYFUNCTION("""COMPUTED_VALUE"""),TRUE)</f>
        <v>1</v>
      </c>
      <c r="R85" s="27"/>
      <c r="S85" s="13" t="b">
        <f ca="1">IFERROR(__xludf.DUMMYFUNCTION("""COMPUTED_VALUE"""),TRUE)</f>
        <v>1</v>
      </c>
      <c r="T85" s="27"/>
      <c r="U85" s="13" t="b">
        <f ca="1">IFERROR(__xludf.DUMMYFUNCTION("""COMPUTED_VALUE"""),FALSE)</f>
        <v>0</v>
      </c>
      <c r="V85" s="27"/>
      <c r="W85" s="13" t="b">
        <f ca="1">IFERROR(__xludf.DUMMYFUNCTION("""COMPUTED_VALUE"""),FALSE)</f>
        <v>0</v>
      </c>
      <c r="X85" s="27"/>
      <c r="Y85" s="13" t="b">
        <f ca="1">IFERROR(__xludf.DUMMYFUNCTION("""COMPUTED_VALUE"""),TRUE)</f>
        <v>1</v>
      </c>
      <c r="Z85" s="27"/>
      <c r="AA85" s="34"/>
      <c r="AB85" s="34"/>
      <c r="AC85" s="34"/>
      <c r="AD85" s="2"/>
      <c r="AE85" s="2"/>
      <c r="AF85" s="2"/>
    </row>
    <row r="86" spans="1:32" ht="15.6">
      <c r="A86" s="26" t="str">
        <f ca="1">IFERROR(__xludf.DUMMYFUNCTION("""COMPUTED_VALUE"""),"充電上限的歷史紀錄")</f>
        <v>充電上限的歷史紀錄</v>
      </c>
      <c r="B86" s="28" t="str">
        <f ca="1">IFERROR(__xludf.DUMMYFUNCTION("""COMPUTED_VALUE"""),"歷史紀錄保存完整")</f>
        <v>歷史紀錄保存完整</v>
      </c>
      <c r="C86" s="29"/>
      <c r="D86" s="32">
        <f ca="1">IFERROR(__xludf.DUMMYFUNCTION("""COMPUTED_VALUE"""),8.6)</f>
        <v>8.6</v>
      </c>
      <c r="E86" s="39">
        <f ca="1">IFERROR(__xludf.DUMMYFUNCTION("""COMPUTED_VALUE"""),0.1)</f>
        <v>0.1</v>
      </c>
      <c r="F86" s="34"/>
      <c r="G86" s="34"/>
      <c r="H86" s="6"/>
      <c r="I86" s="7" t="str">
        <f ca="1">IFERROR(__xludf.DUMMYFUNCTION("""COMPUTED_VALUE"""),"歷史紀錄保存完整")</f>
        <v>歷史紀錄保存完整</v>
      </c>
      <c r="J86" s="8">
        <f ca="1">IFERROR(__xludf.DUMMYFUNCTION("""COMPUTED_VALUE"""),8.6)</f>
        <v>8.6</v>
      </c>
      <c r="K86" s="2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4"/>
      <c r="AC86" s="34"/>
      <c r="AD86" s="2"/>
      <c r="AE86" s="2"/>
      <c r="AF86" s="2"/>
    </row>
    <row r="87" spans="1:32" ht="15.6">
      <c r="A87" s="27"/>
      <c r="B87" s="30"/>
      <c r="C87" s="31"/>
      <c r="D87" s="27"/>
      <c r="E87" s="27"/>
      <c r="F87" s="27"/>
      <c r="G87" s="27"/>
      <c r="H87" s="6"/>
      <c r="I87" s="7" t="str">
        <f ca="1">IFERROR(__xludf.DUMMYFUNCTION("""COMPUTED_VALUE"""),"歷史紀錄未保存完整")</f>
        <v>歷史紀錄未保存完整</v>
      </c>
      <c r="J87" s="8">
        <f ca="1">IFERROR(__xludf.DUMMYFUNCTION("""COMPUTED_VALUE"""),7.8)</f>
        <v>7.8</v>
      </c>
      <c r="K87" s="2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7"/>
      <c r="AB87" s="27"/>
      <c r="AC87" s="27"/>
      <c r="AD87" s="2"/>
      <c r="AE87" s="2"/>
      <c r="AF87" s="2"/>
    </row>
    <row r="88" spans="1:32" ht="15.6">
      <c r="A88" s="19" t="str">
        <f ca="1">IFERROR(__xludf.DUMMYFUNCTION("IMPORTRANGE(""https://docs.google.com/spreadsheets/d/1g3k-_bsDSgGx-LrtXVu_8pmZey8G_3GZEmdJXJYtcxo/edit?gid=1309576063#gid=1309576063"",""'F1-c1-2'!A1:AC10"")"),"充電上限控制器故障 F1-c1-2(t)")</f>
        <v>充電上限控制器故障 F1-c1-2(t)</v>
      </c>
      <c r="B88" s="20"/>
      <c r="C88" s="20"/>
      <c r="D88" s="20"/>
      <c r="E88" s="20"/>
      <c r="F88" s="20"/>
      <c r="G88" s="20"/>
      <c r="H88" s="1"/>
      <c r="I88" s="21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2"/>
      <c r="AA88" s="23"/>
      <c r="AB88" s="24"/>
      <c r="AC88" s="24"/>
      <c r="AD88" s="2"/>
      <c r="AE88" s="2"/>
      <c r="AF88" s="2"/>
    </row>
    <row r="89" spans="1:32" ht="46.8">
      <c r="A89" s="3" t="str">
        <f ca="1">IFERROR(__xludf.DUMMYFUNCTION("""COMPUTED_VALUE"""),"確保可靠度的手段")</f>
        <v>確保可靠度的手段</v>
      </c>
      <c r="B89" s="25" t="str">
        <f ca="1">IFERROR(__xludf.DUMMYFUNCTION("""COMPUTED_VALUE"""),"確證方式")</f>
        <v>確證方式</v>
      </c>
      <c r="C89" s="22"/>
      <c r="D89" s="3" t="str">
        <f ca="1">IFERROR(__xludf.DUMMYFUNCTION("""COMPUTED_VALUE"""),"得分")</f>
        <v>得分</v>
      </c>
      <c r="E89" s="3" t="str">
        <f ca="1">IFERROR(__xludf.DUMMYFUNCTION("""COMPUTED_VALUE"""),"權重")</f>
        <v>權重</v>
      </c>
      <c r="F89" s="3" t="str">
        <f ca="1">IFERROR(__xludf.DUMMYFUNCTION("""COMPUTED_VALUE"""),"可靠度
 概率")</f>
        <v>可靠度
 概率</v>
      </c>
      <c r="G89" s="3" t="str">
        <f ca="1">IFERROR(__xludf.DUMMYFUNCTION("""COMPUTED_VALUE"""),"F1-c1-2(t)")</f>
        <v>F1-c1-2(t)</v>
      </c>
      <c r="H89" s="4"/>
      <c r="I89" s="5" t="str">
        <f ca="1">IFERROR(__xludf.DUMMYFUNCTION("""COMPUTED_VALUE"""),"調查問項")</f>
        <v>調查問項</v>
      </c>
      <c r="J89" s="5" t="str">
        <f ca="1">IFERROR(__xludf.DUMMYFUNCTION("""COMPUTED_VALUE"""),"分項分數")</f>
        <v>分項分數</v>
      </c>
      <c r="K89" s="5" t="str">
        <f ca="1">IFERROR(__xludf.DUMMYFUNCTION("""COMPUTED_VALUE"""),"勾選組合")</f>
        <v>勾選組合</v>
      </c>
      <c r="L89" s="5" t="str">
        <f ca="1">IFERROR(__xludf.DUMMYFUNCTION("""COMPUTED_VALUE"""),"得分")</f>
        <v>得分</v>
      </c>
      <c r="M89" s="5" t="str">
        <f ca="1">IFERROR(__xludf.DUMMYFUNCTION("""COMPUTED_VALUE"""),"勾選組合")</f>
        <v>勾選組合</v>
      </c>
      <c r="N89" s="5" t="str">
        <f ca="1">IFERROR(__xludf.DUMMYFUNCTION("""COMPUTED_VALUE"""),"得分")</f>
        <v>得分</v>
      </c>
      <c r="O89" s="5" t="str">
        <f ca="1">IFERROR(__xludf.DUMMYFUNCTION("""COMPUTED_VALUE"""),"勾選組合")</f>
        <v>勾選組合</v>
      </c>
      <c r="P89" s="5" t="str">
        <f ca="1">IFERROR(__xludf.DUMMYFUNCTION("""COMPUTED_VALUE"""),"得分")</f>
        <v>得分</v>
      </c>
      <c r="Q89" s="5" t="str">
        <f ca="1">IFERROR(__xludf.DUMMYFUNCTION("""COMPUTED_VALUE"""),"勾選組合")</f>
        <v>勾選組合</v>
      </c>
      <c r="R89" s="5" t="str">
        <f ca="1">IFERROR(__xludf.DUMMYFUNCTION("""COMPUTED_VALUE"""),"得分")</f>
        <v>得分</v>
      </c>
      <c r="S89" s="5" t="str">
        <f ca="1">IFERROR(__xludf.DUMMYFUNCTION("""COMPUTED_VALUE"""),"勾選組合")</f>
        <v>勾選組合</v>
      </c>
      <c r="T89" s="5" t="str">
        <f ca="1">IFERROR(__xludf.DUMMYFUNCTION("""COMPUTED_VALUE"""),"得分")</f>
        <v>得分</v>
      </c>
      <c r="U89" s="5" t="str">
        <f ca="1">IFERROR(__xludf.DUMMYFUNCTION("""COMPUTED_VALUE"""),"勾選組合")</f>
        <v>勾選組合</v>
      </c>
      <c r="V89" s="5" t="str">
        <f ca="1">IFERROR(__xludf.DUMMYFUNCTION("""COMPUTED_VALUE"""),"得分")</f>
        <v>得分</v>
      </c>
      <c r="W89" s="5" t="str">
        <f ca="1">IFERROR(__xludf.DUMMYFUNCTION("""COMPUTED_VALUE"""),"勾選組合")</f>
        <v>勾選組合</v>
      </c>
      <c r="X89" s="5" t="str">
        <f ca="1">IFERROR(__xludf.DUMMYFUNCTION("""COMPUTED_VALUE"""),"得分")</f>
        <v>得分</v>
      </c>
      <c r="Y89" s="5" t="str">
        <f ca="1">IFERROR(__xludf.DUMMYFUNCTION("""COMPUTED_VALUE"""),"勾選組合")</f>
        <v>勾選組合</v>
      </c>
      <c r="Z89" s="5" t="str">
        <f ca="1">IFERROR(__xludf.DUMMYFUNCTION("""COMPUTED_VALUE"""),"得分")</f>
        <v>得分</v>
      </c>
      <c r="AA89" s="25" t="str">
        <f ca="1">IFERROR(__xludf.DUMMYFUNCTION("""COMPUTED_VALUE"""),"F1-c1-2(t)")</f>
        <v>F1-c1-2(t)</v>
      </c>
      <c r="AB89" s="20"/>
      <c r="AC89" s="22"/>
      <c r="AD89" s="2"/>
      <c r="AE89" s="2"/>
      <c r="AF89" s="2"/>
    </row>
    <row r="90" spans="1:32" ht="15.6">
      <c r="A90" s="36" t="str">
        <f ca="1">IFERROR(__xludf.DUMMYFUNCTION("""COMPUTED_VALUE"""),"充電上限控制器通過認證")</f>
        <v>充電上限控制器通過認證</v>
      </c>
      <c r="B90" s="10" t="b">
        <f ca="1">IFERROR(__xludf.DUMMYFUNCTION("""COMPUTED_VALUE"""),TRUE)</f>
        <v>1</v>
      </c>
      <c r="C90" s="11" t="str">
        <f ca="1">IFERROR(__xludf.DUMMYFUNCTION("""COMPUTED_VALUE"""),"取得 UL 1973 認證證書")</f>
        <v>取得 UL 1973 認證證書</v>
      </c>
      <c r="D90" s="33">
        <f ca="1">IFERROR(__xludf.DUMMYFUNCTION("""COMPUTED_VALUE"""),9.2)</f>
        <v>9.1999999999999993</v>
      </c>
      <c r="E90" s="35">
        <f ca="1">IFERROR(__xludf.DUMMYFUNCTION("""COMPUTED_VALUE"""),0.4)</f>
        <v>0.4</v>
      </c>
      <c r="F90" s="38">
        <f ca="1">IFERROR(__xludf.DUMMYFUNCTION("""COMPUTED_VALUE"""),0.871999999999999)</f>
        <v>0.871999999999999</v>
      </c>
      <c r="G90" s="38">
        <f ca="1">IFERROR(__xludf.DUMMYFUNCTION("""COMPUTED_VALUE"""),0.128)</f>
        <v>0.128</v>
      </c>
      <c r="H90" s="6"/>
      <c r="I90" s="11" t="str">
        <f ca="1">IFERROR(__xludf.DUMMYFUNCTION("""COMPUTED_VALUE"""),"取得 UL 1973 認證證書")</f>
        <v>取得 UL 1973 認證證書</v>
      </c>
      <c r="J90" s="12">
        <f ca="1">IFERROR(__xludf.DUMMYFUNCTION("""COMPUTED_VALUE"""),8.6)</f>
        <v>8.6</v>
      </c>
      <c r="K90" s="13" t="b">
        <f ca="1">IFERROR(__xludf.DUMMYFUNCTION("""COMPUTED_VALUE"""),TRUE)</f>
        <v>1</v>
      </c>
      <c r="L90" s="33">
        <f ca="1">IFERROR(__xludf.DUMMYFUNCTION("""COMPUTED_VALUE"""),9.2)</f>
        <v>9.1999999999999993</v>
      </c>
      <c r="M90" s="13" t="b">
        <f ca="1">IFERROR(__xludf.DUMMYFUNCTION("""COMPUTED_VALUE"""),FALSE)</f>
        <v>0</v>
      </c>
      <c r="N90" s="33">
        <f ca="1">IFERROR(__xludf.DUMMYFUNCTION("""COMPUTED_VALUE"""),7.8)</f>
        <v>7.8</v>
      </c>
      <c r="O90" s="13" t="b">
        <f ca="1">IFERROR(__xludf.DUMMYFUNCTION("""COMPUTED_VALUE"""),TRUE)</f>
        <v>1</v>
      </c>
      <c r="P90" s="33">
        <f ca="1">IFERROR(__xludf.DUMMYFUNCTION("""COMPUTED_VALUE"""),9)</f>
        <v>9</v>
      </c>
      <c r="Q90" s="13" t="b">
        <f ca="1">IFERROR(__xludf.DUMMYFUNCTION("""COMPUTED_VALUE"""),FALSE)</f>
        <v>0</v>
      </c>
      <c r="R90" s="33">
        <f ca="1">IFERROR(__xludf.DUMMYFUNCTION("""COMPUTED_VALUE"""),9)</f>
        <v>9</v>
      </c>
      <c r="S90" s="13" t="b">
        <f ca="1">IFERROR(__xludf.DUMMYFUNCTION("""COMPUTED_VALUE"""),TRUE)</f>
        <v>1</v>
      </c>
      <c r="T90" s="33">
        <f ca="1">IFERROR(__xludf.DUMMYFUNCTION("""COMPUTED_VALUE"""),9)</f>
        <v>9</v>
      </c>
      <c r="U90" s="13" t="b">
        <f ca="1">IFERROR(__xludf.DUMMYFUNCTION("""COMPUTED_VALUE"""),TRUE)</f>
        <v>1</v>
      </c>
      <c r="V90" s="33">
        <f ca="1">IFERROR(__xludf.DUMMYFUNCTION("""COMPUTED_VALUE"""),8.6)</f>
        <v>8.6</v>
      </c>
      <c r="W90" s="13" t="b">
        <f ca="1">IFERROR(__xludf.DUMMYFUNCTION("""COMPUTED_VALUE"""),FALSE)</f>
        <v>0</v>
      </c>
      <c r="X90" s="33">
        <f ca="1">IFERROR(__xludf.DUMMYFUNCTION("""COMPUTED_VALUE"""),8.6)</f>
        <v>8.6</v>
      </c>
      <c r="Y90" s="13" t="b">
        <f ca="1">IFERROR(__xludf.DUMMYFUNCTION("""COMPUTED_VALUE"""),FALSE)</f>
        <v>0</v>
      </c>
      <c r="Z90" s="33">
        <f ca="1">IFERROR(__xludf.DUMMYFUNCTION("""COMPUTED_VALUE"""),8.5)</f>
        <v>8.5</v>
      </c>
      <c r="AA90" s="37">
        <f ca="1">IFERROR(__xludf.DUMMYFUNCTION("""COMPUTED_VALUE"""),0.1216)</f>
        <v>0.1216</v>
      </c>
      <c r="AB90" s="37">
        <f ca="1">IFERROR(__xludf.DUMMYFUNCTION("""COMPUTED_VALUE"""),0.128)</f>
        <v>0.128</v>
      </c>
      <c r="AC90" s="37">
        <f ca="1">IFERROR(__xludf.DUMMYFUNCTION("""COMPUTED_VALUE"""),0.1344)</f>
        <v>0.13439999999999999</v>
      </c>
      <c r="AD90" s="2"/>
      <c r="AE90" s="2"/>
      <c r="AF90" s="2"/>
    </row>
    <row r="91" spans="1:32" ht="15.6">
      <c r="A91" s="34"/>
      <c r="B91" s="10" t="b">
        <f ca="1">IFERROR(__xludf.DUMMYFUNCTION("""COMPUTED_VALUE"""),TRUE)</f>
        <v>1</v>
      </c>
      <c r="C91" s="11" t="str">
        <f ca="1">IFERROR(__xludf.DUMMYFUNCTION("""COMPUTED_VALUE"""),"取得 CNS 62619 認證證書")</f>
        <v>取得 CNS 62619 認證證書</v>
      </c>
      <c r="D91" s="34"/>
      <c r="E91" s="34"/>
      <c r="F91" s="34"/>
      <c r="G91" s="34"/>
      <c r="H91" s="6"/>
      <c r="I91" s="11" t="str">
        <f ca="1">IFERROR(__xludf.DUMMYFUNCTION("""COMPUTED_VALUE"""),"取得 CNS 62619 認證證書")</f>
        <v>取得 CNS 62619 認證證書</v>
      </c>
      <c r="J91" s="12">
        <f ca="1">IFERROR(__xludf.DUMMYFUNCTION("""COMPUTED_VALUE"""),8.6)</f>
        <v>8.6</v>
      </c>
      <c r="K91" s="14" t="b">
        <f ca="1">IFERROR(__xludf.DUMMYFUNCTION("""COMPUTED_VALUE"""),TRUE)</f>
        <v>1</v>
      </c>
      <c r="L91" s="34"/>
      <c r="M91" s="14" t="b">
        <f ca="1">IFERROR(__xludf.DUMMYFUNCTION("""COMPUTED_VALUE"""),FALSE)</f>
        <v>0</v>
      </c>
      <c r="N91" s="34"/>
      <c r="O91" s="14" t="b">
        <f ca="1">IFERROR(__xludf.DUMMYFUNCTION("""COMPUTED_VALUE"""),TRUE)</f>
        <v>1</v>
      </c>
      <c r="P91" s="34"/>
      <c r="Q91" s="14" t="b">
        <f ca="1">IFERROR(__xludf.DUMMYFUNCTION("""COMPUTED_VALUE"""),TRUE)</f>
        <v>1</v>
      </c>
      <c r="R91" s="34"/>
      <c r="S91" s="14" t="b">
        <f ca="1">IFERROR(__xludf.DUMMYFUNCTION("""COMPUTED_VALUE"""),FALSE)</f>
        <v>0</v>
      </c>
      <c r="T91" s="34"/>
      <c r="U91" s="14" t="b">
        <f ca="1">IFERROR(__xludf.DUMMYFUNCTION("""COMPUTED_VALUE"""),FALSE)</f>
        <v>0</v>
      </c>
      <c r="V91" s="34"/>
      <c r="W91" s="14" t="b">
        <f ca="1">IFERROR(__xludf.DUMMYFUNCTION("""COMPUTED_VALUE"""),TRUE)</f>
        <v>1</v>
      </c>
      <c r="X91" s="34"/>
      <c r="Y91" s="14" t="b">
        <f ca="1">IFERROR(__xludf.DUMMYFUNCTION("""COMPUTED_VALUE"""),FALSE)</f>
        <v>0</v>
      </c>
      <c r="Z91" s="34"/>
      <c r="AA91" s="34"/>
      <c r="AB91" s="34"/>
      <c r="AC91" s="34"/>
      <c r="AD91" s="2"/>
      <c r="AE91" s="2"/>
      <c r="AF91" s="2"/>
    </row>
    <row r="92" spans="1:32" ht="15.6">
      <c r="A92" s="27"/>
      <c r="B92" s="10" t="b">
        <f ca="1">IFERROR(__xludf.DUMMYFUNCTION("""COMPUTED_VALUE"""),TRUE)</f>
        <v>1</v>
      </c>
      <c r="C92" s="11" t="str">
        <f ca="1">IFERROR(__xludf.DUMMYFUNCTION("""COMPUTED_VALUE"""),"符合 IEC 60730 之測試報告")</f>
        <v>符合 IEC 60730 之測試報告</v>
      </c>
      <c r="D92" s="27"/>
      <c r="E92" s="27"/>
      <c r="F92" s="34"/>
      <c r="G92" s="34"/>
      <c r="H92" s="6"/>
      <c r="I92" s="11" t="str">
        <f ca="1">IFERROR(__xludf.DUMMYFUNCTION("""COMPUTED_VALUE"""),"符合 IEC 60730 之測試報告")</f>
        <v>符合 IEC 60730 之測試報告</v>
      </c>
      <c r="J92" s="12">
        <f ca="1">IFERROR(__xludf.DUMMYFUNCTION("""COMPUTED_VALUE"""),8.5)</f>
        <v>8.5</v>
      </c>
      <c r="K92" s="13" t="b">
        <f ca="1">IFERROR(__xludf.DUMMYFUNCTION("""COMPUTED_VALUE"""),TRUE)</f>
        <v>1</v>
      </c>
      <c r="L92" s="27"/>
      <c r="M92" s="13" t="b">
        <f ca="1">IFERROR(__xludf.DUMMYFUNCTION("""COMPUTED_VALUE"""),FALSE)</f>
        <v>0</v>
      </c>
      <c r="N92" s="27"/>
      <c r="O92" s="13" t="b">
        <f ca="1">IFERROR(__xludf.DUMMYFUNCTION("""COMPUTED_VALUE"""),FALSE)</f>
        <v>0</v>
      </c>
      <c r="P92" s="27"/>
      <c r="Q92" s="13" t="b">
        <f ca="1">IFERROR(__xludf.DUMMYFUNCTION("""COMPUTED_VALUE"""),TRUE)</f>
        <v>1</v>
      </c>
      <c r="R92" s="27"/>
      <c r="S92" s="13" t="b">
        <f ca="1">IFERROR(__xludf.DUMMYFUNCTION("""COMPUTED_VALUE"""),TRUE)</f>
        <v>1</v>
      </c>
      <c r="T92" s="27"/>
      <c r="U92" s="13" t="b">
        <f ca="1">IFERROR(__xludf.DUMMYFUNCTION("""COMPUTED_VALUE"""),FALSE)</f>
        <v>0</v>
      </c>
      <c r="V92" s="27"/>
      <c r="W92" s="13" t="b">
        <f ca="1">IFERROR(__xludf.DUMMYFUNCTION("""COMPUTED_VALUE"""),FALSE)</f>
        <v>0</v>
      </c>
      <c r="X92" s="27"/>
      <c r="Y92" s="13" t="b">
        <f ca="1">IFERROR(__xludf.DUMMYFUNCTION("""COMPUTED_VALUE"""),TRUE)</f>
        <v>1</v>
      </c>
      <c r="Z92" s="27"/>
      <c r="AA92" s="34"/>
      <c r="AB92" s="34"/>
      <c r="AC92" s="34"/>
      <c r="AD92" s="2"/>
      <c r="AE92" s="2"/>
      <c r="AF92" s="2"/>
    </row>
    <row r="93" spans="1:32" ht="15.6">
      <c r="A93" s="26" t="str">
        <f ca="1">IFERROR(__xludf.DUMMYFUNCTION("""COMPUTED_VALUE"""),"充電上限控制器定期檢修")</f>
        <v>充電上限控制器定期檢修</v>
      </c>
      <c r="B93" s="28" t="str">
        <f ca="1">IFERROR(__xludf.DUMMYFUNCTION("""COMPUTED_VALUE"""),"充電上限控制器二年檢修1次")</f>
        <v>充電上限控制器二年檢修1次</v>
      </c>
      <c r="C93" s="29"/>
      <c r="D93" s="32">
        <f ca="1">IFERROR(__xludf.DUMMYFUNCTION("""COMPUTED_VALUE"""),8.2)</f>
        <v>8.1999999999999993</v>
      </c>
      <c r="E93" s="39">
        <f ca="1">IFERROR(__xludf.DUMMYFUNCTION("""COMPUTED_VALUE"""),0.3)</f>
        <v>0.3</v>
      </c>
      <c r="F93" s="34"/>
      <c r="G93" s="34"/>
      <c r="H93" s="6"/>
      <c r="I93" s="7" t="str">
        <f ca="1">IFERROR(__xludf.DUMMYFUNCTION("""COMPUTED_VALUE"""),"充電上限控制器一年檢修1次")</f>
        <v>充電上限控制器一年檢修1次</v>
      </c>
      <c r="J93" s="8">
        <f ca="1">IFERROR(__xludf.DUMMYFUNCTION("""COMPUTED_VALUE"""),8.5)</f>
        <v>8.5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34"/>
      <c r="AB93" s="34"/>
      <c r="AC93" s="34"/>
      <c r="AD93" s="2"/>
      <c r="AE93" s="2"/>
      <c r="AF93" s="2"/>
    </row>
    <row r="94" spans="1:32" ht="15.6">
      <c r="A94" s="34"/>
      <c r="B94" s="40"/>
      <c r="C94" s="41"/>
      <c r="D94" s="34"/>
      <c r="E94" s="34"/>
      <c r="F94" s="34"/>
      <c r="G94" s="34"/>
      <c r="H94" s="6"/>
      <c r="I94" s="7" t="str">
        <f ca="1">IFERROR(__xludf.DUMMYFUNCTION("""COMPUTED_VALUE"""),"充電上限控制器二年檢修1次")</f>
        <v>充電上限控制器二年檢修1次</v>
      </c>
      <c r="J94" s="8">
        <f ca="1">IFERROR(__xludf.DUMMYFUNCTION("""COMPUTED_VALUE"""),8.2)</f>
        <v>8.1999999999999993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34"/>
      <c r="AB94" s="34"/>
      <c r="AC94" s="34"/>
      <c r="AD94" s="2"/>
      <c r="AE94" s="2"/>
      <c r="AF94" s="2"/>
    </row>
    <row r="95" spans="1:32" ht="15.6">
      <c r="A95" s="27"/>
      <c r="B95" s="30"/>
      <c r="C95" s="31"/>
      <c r="D95" s="27"/>
      <c r="E95" s="27"/>
      <c r="F95" s="34"/>
      <c r="G95" s="34"/>
      <c r="H95" s="6"/>
      <c r="I95" s="7" t="str">
        <f ca="1">IFERROR(__xludf.DUMMYFUNCTION("""COMPUTED_VALUE"""),"充電上限控制器未定期檢修")</f>
        <v>充電上限控制器未定期檢修</v>
      </c>
      <c r="J95" s="8">
        <f ca="1">IFERROR(__xludf.DUMMYFUNCTION("""COMPUTED_VALUE"""),7.5)</f>
        <v>7.5</v>
      </c>
      <c r="K95" s="2"/>
      <c r="L95" s="9"/>
      <c r="M95" s="2"/>
      <c r="N95" s="9"/>
      <c r="O95" s="2"/>
      <c r="P95" s="9"/>
      <c r="Q95" s="2"/>
      <c r="R95" s="9"/>
      <c r="S95" s="2"/>
      <c r="T95" s="9"/>
      <c r="U95" s="2"/>
      <c r="V95" s="9"/>
      <c r="W95" s="2"/>
      <c r="X95" s="9"/>
      <c r="Y95" s="2"/>
      <c r="Z95" s="9"/>
      <c r="AA95" s="34"/>
      <c r="AB95" s="34"/>
      <c r="AC95" s="34"/>
      <c r="AD95" s="2"/>
      <c r="AE95" s="2"/>
      <c r="AF95" s="2"/>
    </row>
    <row r="96" spans="1:32" ht="15.6">
      <c r="A96" s="26" t="str">
        <f ca="1">IFERROR(__xludf.DUMMYFUNCTION("""COMPUTED_VALUE"""),"充電上限控制器有故障監視")</f>
        <v>充電上限控制器有故障監視</v>
      </c>
      <c r="B96" s="28" t="str">
        <f ca="1">IFERROR(__xludf.DUMMYFUNCTION("""COMPUTED_VALUE"""),"控制器具有故障監視功能")</f>
        <v>控制器具有故障監視功能</v>
      </c>
      <c r="C96" s="29"/>
      <c r="D96" s="32">
        <f ca="1">IFERROR(__xludf.DUMMYFUNCTION("""COMPUTED_VALUE"""),8.6)</f>
        <v>8.6</v>
      </c>
      <c r="E96" s="39">
        <f ca="1">IFERROR(__xludf.DUMMYFUNCTION("""COMPUTED_VALUE"""),0.3)</f>
        <v>0.3</v>
      </c>
      <c r="F96" s="34"/>
      <c r="G96" s="34"/>
      <c r="H96" s="6"/>
      <c r="I96" s="7" t="str">
        <f ca="1">IFERROR(__xludf.DUMMYFUNCTION("""COMPUTED_VALUE"""),"控制器具有故障監視功能")</f>
        <v>控制器具有故障監視功能</v>
      </c>
      <c r="J96" s="8">
        <f ca="1">IFERROR(__xludf.DUMMYFUNCTION("""COMPUTED_VALUE"""),8.6)</f>
        <v>8.6</v>
      </c>
      <c r="K96" s="2"/>
      <c r="L96" s="9"/>
      <c r="M96" s="2"/>
      <c r="N96" s="9"/>
      <c r="O96" s="2"/>
      <c r="P96" s="9"/>
      <c r="Q96" s="2"/>
      <c r="R96" s="9"/>
      <c r="S96" s="2"/>
      <c r="T96" s="9"/>
      <c r="U96" s="2"/>
      <c r="V96" s="9"/>
      <c r="W96" s="2"/>
      <c r="X96" s="9"/>
      <c r="Y96" s="2"/>
      <c r="Z96" s="9"/>
      <c r="AA96" s="34"/>
      <c r="AB96" s="34"/>
      <c r="AC96" s="34"/>
      <c r="AD96" s="2"/>
      <c r="AE96" s="2"/>
      <c r="AF96" s="2"/>
    </row>
    <row r="97" spans="1:32" ht="15.6">
      <c r="A97" s="27"/>
      <c r="B97" s="30"/>
      <c r="C97" s="31"/>
      <c r="D97" s="27"/>
      <c r="E97" s="27"/>
      <c r="F97" s="27"/>
      <c r="G97" s="27"/>
      <c r="H97" s="16"/>
      <c r="I97" s="7" t="str">
        <f ca="1">IFERROR(__xludf.DUMMYFUNCTION("""COMPUTED_VALUE"""),"控制器無故障監視功能")</f>
        <v>控制器無故障監視功能</v>
      </c>
      <c r="J97" s="8">
        <f ca="1">IFERROR(__xludf.DUMMYFUNCTION("""COMPUTED_VALUE"""),7.8)</f>
        <v>7.8</v>
      </c>
      <c r="K97" s="2"/>
      <c r="L97" s="9"/>
      <c r="M97" s="2"/>
      <c r="N97" s="9"/>
      <c r="O97" s="2"/>
      <c r="P97" s="9"/>
      <c r="Q97" s="2"/>
      <c r="R97" s="9"/>
      <c r="S97" s="2"/>
      <c r="T97" s="9"/>
      <c r="U97" s="2"/>
      <c r="V97" s="9"/>
      <c r="W97" s="2"/>
      <c r="X97" s="9"/>
      <c r="Y97" s="2"/>
      <c r="Z97" s="9"/>
      <c r="AA97" s="27"/>
      <c r="AB97" s="27"/>
      <c r="AC97" s="27"/>
      <c r="AD97" s="2"/>
      <c r="AE97" s="2"/>
      <c r="AF97" s="2"/>
    </row>
    <row r="98" spans="1:32" ht="15.6">
      <c r="A98" s="19" t="str">
        <f ca="1">IFERROR(__xludf.DUMMYFUNCTION("IMPORTRANGE(""https://docs.google.com/spreadsheets/d/1g3k-_bsDSgGx-LrtXVu_8pmZey8G_3GZEmdJXJYtcxo/edit?gid=769663486#gid=769663486"",""'F1-c2-1'!A1:AC9"")"),"過充電保護設定不當 F1-c2-1(t)")</f>
        <v>過充電保護設定不當 F1-c2-1(t)</v>
      </c>
      <c r="B98" s="20"/>
      <c r="C98" s="20"/>
      <c r="D98" s="20"/>
      <c r="E98" s="20"/>
      <c r="F98" s="20"/>
      <c r="G98" s="20"/>
      <c r="H98" s="1"/>
      <c r="I98" s="21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2"/>
      <c r="AA98" s="23"/>
      <c r="AB98" s="24"/>
      <c r="AC98" s="24"/>
      <c r="AD98" s="2"/>
      <c r="AE98" s="2"/>
      <c r="AF98" s="2"/>
    </row>
    <row r="99" spans="1:32" ht="46.8">
      <c r="A99" s="3" t="str">
        <f ca="1">IFERROR(__xludf.DUMMYFUNCTION("""COMPUTED_VALUE"""),"確保可靠度的手段")</f>
        <v>確保可靠度的手段</v>
      </c>
      <c r="B99" s="25" t="str">
        <f ca="1">IFERROR(__xludf.DUMMYFUNCTION("""COMPUTED_VALUE"""),"確證方式")</f>
        <v>確證方式</v>
      </c>
      <c r="C99" s="22"/>
      <c r="D99" s="3" t="str">
        <f ca="1">IFERROR(__xludf.DUMMYFUNCTION("""COMPUTED_VALUE"""),"得分")</f>
        <v>得分</v>
      </c>
      <c r="E99" s="3" t="str">
        <f ca="1">IFERROR(__xludf.DUMMYFUNCTION("""COMPUTED_VALUE"""),"權重")</f>
        <v>權重</v>
      </c>
      <c r="F99" s="3" t="str">
        <f ca="1">IFERROR(__xludf.DUMMYFUNCTION("""COMPUTED_VALUE"""),"可靠度概率")</f>
        <v>可靠度概率</v>
      </c>
      <c r="G99" s="3" t="str">
        <f ca="1">IFERROR(__xludf.DUMMYFUNCTION("""COMPUTED_VALUE"""),"F1-c2-1(t)")</f>
        <v>F1-c2-1(t)</v>
      </c>
      <c r="H99" s="4"/>
      <c r="I99" s="5" t="str">
        <f ca="1">IFERROR(__xludf.DUMMYFUNCTION("""COMPUTED_VALUE"""),"調查問項")</f>
        <v>調查問項</v>
      </c>
      <c r="J99" s="5" t="str">
        <f ca="1">IFERROR(__xludf.DUMMYFUNCTION("""COMPUTED_VALUE"""),"分項分數")</f>
        <v>分項分數</v>
      </c>
      <c r="K99" s="5" t="str">
        <f ca="1">IFERROR(__xludf.DUMMYFUNCTION("""COMPUTED_VALUE"""),"勾選組合")</f>
        <v>勾選組合</v>
      </c>
      <c r="L99" s="5" t="str">
        <f ca="1">IFERROR(__xludf.DUMMYFUNCTION("""COMPUTED_VALUE"""),"得分")</f>
        <v>得分</v>
      </c>
      <c r="M99" s="5" t="str">
        <f ca="1">IFERROR(__xludf.DUMMYFUNCTION("""COMPUTED_VALUE"""),"勾選組合")</f>
        <v>勾選組合</v>
      </c>
      <c r="N99" s="5" t="str">
        <f ca="1">IFERROR(__xludf.DUMMYFUNCTION("""COMPUTED_VALUE"""),"得分")</f>
        <v>得分</v>
      </c>
      <c r="O99" s="5" t="str">
        <f ca="1">IFERROR(__xludf.DUMMYFUNCTION("""COMPUTED_VALUE"""),"勾選組合")</f>
        <v>勾選組合</v>
      </c>
      <c r="P99" s="5" t="str">
        <f ca="1">IFERROR(__xludf.DUMMYFUNCTION("""COMPUTED_VALUE"""),"得分")</f>
        <v>得分</v>
      </c>
      <c r="Q99" s="5" t="str">
        <f ca="1">IFERROR(__xludf.DUMMYFUNCTION("""COMPUTED_VALUE"""),"勾選組合")</f>
        <v>勾選組合</v>
      </c>
      <c r="R99" s="5" t="str">
        <f ca="1">IFERROR(__xludf.DUMMYFUNCTION("""COMPUTED_VALUE"""),"得分")</f>
        <v>得分</v>
      </c>
      <c r="S99" s="5" t="str">
        <f ca="1">IFERROR(__xludf.DUMMYFUNCTION("""COMPUTED_VALUE"""),"勾選組合")</f>
        <v>勾選組合</v>
      </c>
      <c r="T99" s="5" t="str">
        <f ca="1">IFERROR(__xludf.DUMMYFUNCTION("""COMPUTED_VALUE"""),"得分")</f>
        <v>得分</v>
      </c>
      <c r="U99" s="5" t="str">
        <f ca="1">IFERROR(__xludf.DUMMYFUNCTION("""COMPUTED_VALUE"""),"勾選組合")</f>
        <v>勾選組合</v>
      </c>
      <c r="V99" s="5" t="str">
        <f ca="1">IFERROR(__xludf.DUMMYFUNCTION("""COMPUTED_VALUE"""),"得分")</f>
        <v>得分</v>
      </c>
      <c r="W99" s="5" t="str">
        <f ca="1">IFERROR(__xludf.DUMMYFUNCTION("""COMPUTED_VALUE"""),"勾選組合")</f>
        <v>勾選組合</v>
      </c>
      <c r="X99" s="5" t="str">
        <f ca="1">IFERROR(__xludf.DUMMYFUNCTION("""COMPUTED_VALUE"""),"得分")</f>
        <v>得分</v>
      </c>
      <c r="Y99" s="5" t="str">
        <f ca="1">IFERROR(__xludf.DUMMYFUNCTION("""COMPUTED_VALUE"""),"勾選組合")</f>
        <v>勾選組合</v>
      </c>
      <c r="Z99" s="5" t="str">
        <f ca="1">IFERROR(__xludf.DUMMYFUNCTION("""COMPUTED_VALUE"""),"得分")</f>
        <v>得分</v>
      </c>
      <c r="AA99" s="25" t="str">
        <f ca="1">IFERROR(__xludf.DUMMYFUNCTION("""COMPUTED_VALUE"""),"F1-c2-1(t)")</f>
        <v>F1-c2-1(t)</v>
      </c>
      <c r="AB99" s="20"/>
      <c r="AC99" s="22"/>
      <c r="AD99" s="2"/>
      <c r="AE99" s="2"/>
      <c r="AF99" s="2"/>
    </row>
    <row r="100" spans="1:32" ht="15.6">
      <c r="A100" s="26" t="str">
        <f ca="1">IFERROR(__xludf.DUMMYFUNCTION("""COMPUTED_VALUE"""),"符合規定的充電保護設定")</f>
        <v>符合規定的充電保護設定</v>
      </c>
      <c r="B100" s="28" t="str">
        <f ca="1">IFERROR(__xludf.DUMMYFUNCTION("""COMPUTED_VALUE"""),"經由第三方查核確認")</f>
        <v>經由第三方查核確認</v>
      </c>
      <c r="C100" s="29"/>
      <c r="D100" s="32">
        <f ca="1">IFERROR(__xludf.DUMMYFUNCTION("""COMPUTED_VALUE"""),8.5)</f>
        <v>8.5</v>
      </c>
      <c r="E100" s="39">
        <f ca="1">IFERROR(__xludf.DUMMYFUNCTION("""COMPUTED_VALUE"""),0.4)</f>
        <v>0.4</v>
      </c>
      <c r="F100" s="38">
        <f ca="1">IFERROR(__xludf.DUMMYFUNCTION("""COMPUTED_VALUE"""),0.868)</f>
        <v>0.86799999999999999</v>
      </c>
      <c r="G100" s="38">
        <f ca="1">IFERROR(__xludf.DUMMYFUNCTION("""COMPUTED_VALUE"""),0.132)</f>
        <v>0.13200000000000001</v>
      </c>
      <c r="H100" s="6"/>
      <c r="I100" s="7" t="str">
        <f ca="1">IFERROR(__xludf.DUMMYFUNCTION("""COMPUTED_VALUE"""),"經由第三方查核確認")</f>
        <v>經由第三方查核確認</v>
      </c>
      <c r="J100" s="8">
        <f ca="1">IFERROR(__xludf.DUMMYFUNCTION("""COMPUTED_VALUE"""),8.5)</f>
        <v>8.5</v>
      </c>
      <c r="K100" s="2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37">
        <f ca="1">IFERROR(__xludf.DUMMYFUNCTION("""COMPUTED_VALUE"""),0.1254)</f>
        <v>0.12540000000000001</v>
      </c>
      <c r="AB100" s="37">
        <f ca="1">IFERROR(__xludf.DUMMYFUNCTION("""COMPUTED_VALUE"""),0.132)</f>
        <v>0.13200000000000001</v>
      </c>
      <c r="AC100" s="37">
        <f ca="1">IFERROR(__xludf.DUMMYFUNCTION("""COMPUTED_VALUE"""),0.1386)</f>
        <v>0.1386</v>
      </c>
      <c r="AD100" s="2"/>
      <c r="AE100" s="2"/>
      <c r="AF100" s="2"/>
    </row>
    <row r="101" spans="1:32" ht="15.6">
      <c r="A101" s="27"/>
      <c r="B101" s="30"/>
      <c r="C101" s="31"/>
      <c r="D101" s="27"/>
      <c r="E101" s="27"/>
      <c r="F101" s="34"/>
      <c r="G101" s="34"/>
      <c r="H101" s="6"/>
      <c r="I101" s="7" t="str">
        <f ca="1">IFERROR(__xludf.DUMMYFUNCTION("""COMPUTED_VALUE"""),"未經由第三方查核確認")</f>
        <v>未經由第三方查核確認</v>
      </c>
      <c r="J101" s="8">
        <f ca="1">IFERROR(__xludf.DUMMYFUNCTION("""COMPUTED_VALUE"""),7.5)</f>
        <v>7.5</v>
      </c>
      <c r="K101" s="2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4"/>
      <c r="AB101" s="34"/>
      <c r="AC101" s="34"/>
      <c r="AD101" s="2"/>
      <c r="AE101" s="2"/>
      <c r="AF101" s="2"/>
    </row>
    <row r="102" spans="1:32" ht="62.4">
      <c r="A102" s="36" t="str">
        <f ca="1">IFERROR(__xludf.DUMMYFUNCTION("""COMPUTED_VALUE"""),"充電保護異常移報訊號")</f>
        <v>充電保護異常移報訊號</v>
      </c>
      <c r="B102" s="10" t="b">
        <f ca="1">IFERROR(__xludf.DUMMYFUNCTION("""COMPUTED_VALUE"""),FALSE)</f>
        <v>0</v>
      </c>
      <c r="C102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02" s="33">
        <f ca="1">IFERROR(__xludf.DUMMYFUNCTION("""COMPUTED_VALUE"""),9)</f>
        <v>9</v>
      </c>
      <c r="E102" s="35">
        <f ca="1">IFERROR(__xludf.DUMMYFUNCTION("""COMPUTED_VALUE"""),0.3)</f>
        <v>0.3</v>
      </c>
      <c r="F102" s="34"/>
      <c r="G102" s="34"/>
      <c r="H102" s="6"/>
      <c r="I102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02" s="12">
        <f ca="1">IFERROR(__xludf.DUMMYFUNCTION("""COMPUTED_VALUE"""),8.8)</f>
        <v>8.8000000000000007</v>
      </c>
      <c r="K102" s="13" t="b">
        <f ca="1">IFERROR(__xludf.DUMMYFUNCTION("""COMPUTED_VALUE"""),TRUE)</f>
        <v>1</v>
      </c>
      <c r="L102" s="33">
        <f ca="1">IFERROR(__xludf.DUMMYFUNCTION("""COMPUTED_VALUE"""),9.2)</f>
        <v>9.1999999999999993</v>
      </c>
      <c r="M102" s="13" t="b">
        <f ca="1">IFERROR(__xludf.DUMMYFUNCTION("""COMPUTED_VALUE"""),FALSE)</f>
        <v>0</v>
      </c>
      <c r="N102" s="33">
        <f ca="1">IFERROR(__xludf.DUMMYFUNCTION("""COMPUTED_VALUE"""),7.6)</f>
        <v>7.6</v>
      </c>
      <c r="O102" s="13" t="b">
        <f ca="1">IFERROR(__xludf.DUMMYFUNCTION("""COMPUTED_VALUE"""),TRUE)</f>
        <v>1</v>
      </c>
      <c r="P102" s="33">
        <f ca="1">IFERROR(__xludf.DUMMYFUNCTION("""COMPUTED_VALUE"""),9)</f>
        <v>9</v>
      </c>
      <c r="Q102" s="13" t="b">
        <f ca="1">IFERROR(__xludf.DUMMYFUNCTION("""COMPUTED_VALUE"""),FALSE)</f>
        <v>0</v>
      </c>
      <c r="R102" s="33">
        <f ca="1">IFERROR(__xludf.DUMMYFUNCTION("""COMPUTED_VALUE"""),9)</f>
        <v>9</v>
      </c>
      <c r="S102" s="13" t="b">
        <f ca="1">IFERROR(__xludf.DUMMYFUNCTION("""COMPUTED_VALUE"""),TRUE)</f>
        <v>1</v>
      </c>
      <c r="T102" s="33">
        <f ca="1">IFERROR(__xludf.DUMMYFUNCTION("""COMPUTED_VALUE"""),9)</f>
        <v>9</v>
      </c>
      <c r="U102" s="13" t="b">
        <f ca="1">IFERROR(__xludf.DUMMYFUNCTION("""COMPUTED_VALUE"""),TRUE)</f>
        <v>1</v>
      </c>
      <c r="V102" s="33">
        <f ca="1">IFERROR(__xludf.DUMMYFUNCTION("""COMPUTED_VALUE"""),8.8)</f>
        <v>8.8000000000000007</v>
      </c>
      <c r="W102" s="13" t="b">
        <f ca="1">IFERROR(__xludf.DUMMYFUNCTION("""COMPUTED_VALUE"""),FALSE)</f>
        <v>0</v>
      </c>
      <c r="X102" s="33">
        <f ca="1">IFERROR(__xludf.DUMMYFUNCTION("""COMPUTED_VALUE"""),8.5)</f>
        <v>8.5</v>
      </c>
      <c r="Y102" s="13" t="b">
        <f ca="1">IFERROR(__xludf.DUMMYFUNCTION("""COMPUTED_VALUE"""),FALSE)</f>
        <v>0</v>
      </c>
      <c r="Z102" s="33">
        <f ca="1">IFERROR(__xludf.DUMMYFUNCTION("""COMPUTED_VALUE"""),8.5)</f>
        <v>8.5</v>
      </c>
      <c r="AA102" s="34"/>
      <c r="AB102" s="34"/>
      <c r="AC102" s="34"/>
      <c r="AD102" s="2"/>
      <c r="AE102" s="2"/>
      <c r="AF102" s="2"/>
    </row>
    <row r="103" spans="1:32" ht="31.2">
      <c r="A103" s="34"/>
      <c r="B103" s="10" t="b">
        <f ca="1">IFERROR(__xludf.DUMMYFUNCTION("""COMPUTED_VALUE"""),TRUE)</f>
        <v>1</v>
      </c>
      <c r="C103" s="11" t="str">
        <f ca="1">IFERROR(__xludf.DUMMYFUNCTION("""COMPUTED_VALUE"""),"BMS通過Test Report - IEC 60730-1 - Annex H測試")</f>
        <v>BMS通過Test Report - IEC 60730-1 - Annex H測試</v>
      </c>
      <c r="D103" s="34"/>
      <c r="E103" s="34"/>
      <c r="F103" s="34"/>
      <c r="G103" s="34"/>
      <c r="H103" s="6"/>
      <c r="I103" s="11" t="str">
        <f ca="1">IFERROR(__xludf.DUMMYFUNCTION("""COMPUTED_VALUE"""),"BMS通過Test Report - IEC 60730-1 - Annex H測試")</f>
        <v>BMS通過Test Report - IEC 60730-1 - Annex H測試</v>
      </c>
      <c r="J103" s="12">
        <f ca="1">IFERROR(__xludf.DUMMYFUNCTION("""COMPUTED_VALUE"""),8.5)</f>
        <v>8.5</v>
      </c>
      <c r="K103" s="14" t="b">
        <f ca="1">IFERROR(__xludf.DUMMYFUNCTION("""COMPUTED_VALUE"""),TRUE)</f>
        <v>1</v>
      </c>
      <c r="L103" s="34"/>
      <c r="M103" s="14" t="b">
        <f ca="1">IFERROR(__xludf.DUMMYFUNCTION("""COMPUTED_VALUE"""),FALSE)</f>
        <v>0</v>
      </c>
      <c r="N103" s="34"/>
      <c r="O103" s="14" t="b">
        <f ca="1">IFERROR(__xludf.DUMMYFUNCTION("""COMPUTED_VALUE"""),TRUE)</f>
        <v>1</v>
      </c>
      <c r="P103" s="34"/>
      <c r="Q103" s="14" t="b">
        <f ca="1">IFERROR(__xludf.DUMMYFUNCTION("""COMPUTED_VALUE"""),TRUE)</f>
        <v>1</v>
      </c>
      <c r="R103" s="34"/>
      <c r="S103" s="14" t="b">
        <f ca="1">IFERROR(__xludf.DUMMYFUNCTION("""COMPUTED_VALUE"""),FALSE)</f>
        <v>0</v>
      </c>
      <c r="T103" s="34"/>
      <c r="U103" s="14" t="b">
        <f ca="1">IFERROR(__xludf.DUMMYFUNCTION("""COMPUTED_VALUE"""),FALSE)</f>
        <v>0</v>
      </c>
      <c r="V103" s="34"/>
      <c r="W103" s="14" t="b">
        <f ca="1">IFERROR(__xludf.DUMMYFUNCTION("""COMPUTED_VALUE"""),TRUE)</f>
        <v>1</v>
      </c>
      <c r="X103" s="34"/>
      <c r="Y103" s="14" t="b">
        <f ca="1">IFERROR(__xludf.DUMMYFUNCTION("""COMPUTED_VALUE"""),FALSE)</f>
        <v>0</v>
      </c>
      <c r="Z103" s="34"/>
      <c r="AA103" s="34"/>
      <c r="AB103" s="34"/>
      <c r="AC103" s="34"/>
      <c r="AD103" s="2"/>
      <c r="AE103" s="2"/>
      <c r="AF103" s="2"/>
    </row>
    <row r="104" spans="1:32" ht="31.2">
      <c r="A104" s="27"/>
      <c r="B104" s="10" t="b">
        <f ca="1">IFERROR(__xludf.DUMMYFUNCTION("""COMPUTED_VALUE"""),TRUE)</f>
        <v>1</v>
      </c>
      <c r="C104" s="11" t="str">
        <f ca="1">IFERROR(__xludf.DUMMYFUNCTION("""COMPUTED_VALUE"""),"異常訊號可同時通知現場及遠端管理人員")</f>
        <v>異常訊號可同時通知現場及遠端管理人員</v>
      </c>
      <c r="D104" s="27"/>
      <c r="E104" s="27"/>
      <c r="F104" s="34"/>
      <c r="G104" s="34"/>
      <c r="H104" s="6"/>
      <c r="I104" s="11" t="str">
        <f ca="1">IFERROR(__xludf.DUMMYFUNCTION("""COMPUTED_VALUE"""),"異常訊號可同時通知現場及遠端管理人員")</f>
        <v>異常訊號可同時通知現場及遠端管理人員</v>
      </c>
      <c r="J104" s="12">
        <f ca="1">IFERROR(__xludf.DUMMYFUNCTION("""COMPUTED_VALUE"""),8.5)</f>
        <v>8.5</v>
      </c>
      <c r="K104" s="13" t="b">
        <f ca="1">IFERROR(__xludf.DUMMYFUNCTION("""COMPUTED_VALUE"""),TRUE)</f>
        <v>1</v>
      </c>
      <c r="L104" s="27"/>
      <c r="M104" s="13" t="b">
        <f ca="1">IFERROR(__xludf.DUMMYFUNCTION("""COMPUTED_VALUE"""),FALSE)</f>
        <v>0</v>
      </c>
      <c r="N104" s="27"/>
      <c r="O104" s="13" t="b">
        <f ca="1">IFERROR(__xludf.DUMMYFUNCTION("""COMPUTED_VALUE"""),FALSE)</f>
        <v>0</v>
      </c>
      <c r="P104" s="27"/>
      <c r="Q104" s="13" t="b">
        <f ca="1">IFERROR(__xludf.DUMMYFUNCTION("""COMPUTED_VALUE"""),TRUE)</f>
        <v>1</v>
      </c>
      <c r="R104" s="27"/>
      <c r="S104" s="13" t="b">
        <f ca="1">IFERROR(__xludf.DUMMYFUNCTION("""COMPUTED_VALUE"""),TRUE)</f>
        <v>1</v>
      </c>
      <c r="T104" s="27"/>
      <c r="U104" s="13" t="b">
        <f ca="1">IFERROR(__xludf.DUMMYFUNCTION("""COMPUTED_VALUE"""),FALSE)</f>
        <v>0</v>
      </c>
      <c r="V104" s="27"/>
      <c r="W104" s="13" t="b">
        <f ca="1">IFERROR(__xludf.DUMMYFUNCTION("""COMPUTED_VALUE"""),FALSE)</f>
        <v>0</v>
      </c>
      <c r="X104" s="27"/>
      <c r="Y104" s="13" t="b">
        <f ca="1">IFERROR(__xludf.DUMMYFUNCTION("""COMPUTED_VALUE"""),TRUE)</f>
        <v>1</v>
      </c>
      <c r="Z104" s="27"/>
      <c r="AA104" s="34"/>
      <c r="AB104" s="34"/>
      <c r="AC104" s="34"/>
      <c r="AD104" s="2"/>
      <c r="AE104" s="2"/>
      <c r="AF104" s="2"/>
    </row>
    <row r="105" spans="1:32" ht="15.6">
      <c r="A105" s="26" t="str">
        <f ca="1">IFERROR(__xludf.DUMMYFUNCTION("""COMPUTED_VALUE"""),"充電保護作動的歷史紀錄")</f>
        <v>充電保護作動的歷史紀錄</v>
      </c>
      <c r="B105" s="28" t="str">
        <f ca="1">IFERROR(__xludf.DUMMYFUNCTION("""COMPUTED_VALUE"""),"歷史紀錄保存完整")</f>
        <v>歷史紀錄保存完整</v>
      </c>
      <c r="C105" s="29"/>
      <c r="D105" s="32">
        <f ca="1">IFERROR(__xludf.DUMMYFUNCTION("""COMPUTED_VALUE"""),8.6)</f>
        <v>8.6</v>
      </c>
      <c r="E105" s="39">
        <f ca="1">IFERROR(__xludf.DUMMYFUNCTION("""COMPUTED_VALUE"""),0.3)</f>
        <v>0.3</v>
      </c>
      <c r="F105" s="34"/>
      <c r="G105" s="34"/>
      <c r="H105" s="6"/>
      <c r="I105" s="7" t="str">
        <f ca="1">IFERROR(__xludf.DUMMYFUNCTION("""COMPUTED_VALUE"""),"歷史紀錄保存完整")</f>
        <v>歷史紀錄保存完整</v>
      </c>
      <c r="J105" s="8">
        <f ca="1">IFERROR(__xludf.DUMMYFUNCTION("""COMPUTED_VALUE"""),8.6)</f>
        <v>8.6</v>
      </c>
      <c r="K105" s="2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34"/>
      <c r="AB105" s="34"/>
      <c r="AC105" s="34"/>
      <c r="AD105" s="2"/>
      <c r="AE105" s="2"/>
      <c r="AF105" s="2"/>
    </row>
    <row r="106" spans="1:32" ht="15.6">
      <c r="A106" s="27"/>
      <c r="B106" s="30"/>
      <c r="C106" s="31"/>
      <c r="D106" s="27"/>
      <c r="E106" s="27"/>
      <c r="F106" s="27"/>
      <c r="G106" s="27"/>
      <c r="H106" s="6"/>
      <c r="I106" s="7" t="str">
        <f ca="1">IFERROR(__xludf.DUMMYFUNCTION("""COMPUTED_VALUE"""),"歷史紀錄未保存完整")</f>
        <v>歷史紀錄未保存完整</v>
      </c>
      <c r="J106" s="8">
        <f ca="1">IFERROR(__xludf.DUMMYFUNCTION("""COMPUTED_VALUE"""),7.8)</f>
        <v>7.8</v>
      </c>
      <c r="K106" s="2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7"/>
      <c r="AB106" s="27"/>
      <c r="AC106" s="27"/>
      <c r="AD106" s="2"/>
      <c r="AE106" s="2"/>
      <c r="AF106" s="2"/>
    </row>
    <row r="107" spans="1:32" ht="15.6">
      <c r="A107" s="19" t="str">
        <f ca="1">IFERROR(__xludf.DUMMYFUNCTION("IMPORTRANGE(""https://docs.google.com/spreadsheets/d/1g3k-_bsDSgGx-LrtXVu_8pmZey8G_3GZEmdJXJYtcxo/edit?gid=1954374157#gid=1954374157"",""'F1-c2-2'!A1:AC8"")"),"過充電保護裝置故障 F1-c2-2(t)")</f>
        <v>過充電保護裝置故障 F1-c2-2(t)</v>
      </c>
      <c r="B107" s="20"/>
      <c r="C107" s="20"/>
      <c r="D107" s="20"/>
      <c r="E107" s="20"/>
      <c r="F107" s="20"/>
      <c r="G107" s="20"/>
      <c r="H107" s="1"/>
      <c r="I107" s="21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2"/>
      <c r="AA107" s="23"/>
      <c r="AB107" s="24"/>
      <c r="AC107" s="24"/>
      <c r="AD107" s="2"/>
      <c r="AE107" s="2"/>
      <c r="AF107" s="2"/>
    </row>
    <row r="108" spans="1:32" ht="46.8">
      <c r="A108" s="3" t="str">
        <f ca="1">IFERROR(__xludf.DUMMYFUNCTION("""COMPUTED_VALUE"""),"確保可靠度的手段")</f>
        <v>確保可靠度的手段</v>
      </c>
      <c r="B108" s="25" t="str">
        <f ca="1">IFERROR(__xludf.DUMMYFUNCTION("""COMPUTED_VALUE"""),"確證方式")</f>
        <v>確證方式</v>
      </c>
      <c r="C108" s="22"/>
      <c r="D108" s="3" t="str">
        <f ca="1">IFERROR(__xludf.DUMMYFUNCTION("""COMPUTED_VALUE"""),"得分")</f>
        <v>得分</v>
      </c>
      <c r="E108" s="3" t="str">
        <f ca="1">IFERROR(__xludf.DUMMYFUNCTION("""COMPUTED_VALUE"""),"權重")</f>
        <v>權重</v>
      </c>
      <c r="F108" s="3" t="str">
        <f ca="1">IFERROR(__xludf.DUMMYFUNCTION("""COMPUTED_VALUE"""),"可靠度
 概率")</f>
        <v>可靠度
 概率</v>
      </c>
      <c r="G108" s="3" t="str">
        <f ca="1">IFERROR(__xludf.DUMMYFUNCTION("""COMPUTED_VALUE"""),"F1-c2-2(t)")</f>
        <v>F1-c2-2(t)</v>
      </c>
      <c r="H108" s="4"/>
      <c r="I108" s="5" t="str">
        <f ca="1">IFERROR(__xludf.DUMMYFUNCTION("""COMPUTED_VALUE"""),"調查問項")</f>
        <v>調查問項</v>
      </c>
      <c r="J108" s="5" t="str">
        <f ca="1">IFERROR(__xludf.DUMMYFUNCTION("""COMPUTED_VALUE"""),"分項分數")</f>
        <v>分項分數</v>
      </c>
      <c r="K108" s="5" t="str">
        <f ca="1">IFERROR(__xludf.DUMMYFUNCTION("""COMPUTED_VALUE"""),"勾選組合")</f>
        <v>勾選組合</v>
      </c>
      <c r="L108" s="5" t="str">
        <f ca="1">IFERROR(__xludf.DUMMYFUNCTION("""COMPUTED_VALUE"""),"得分")</f>
        <v>得分</v>
      </c>
      <c r="M108" s="5" t="str">
        <f ca="1">IFERROR(__xludf.DUMMYFUNCTION("""COMPUTED_VALUE"""),"勾選組合")</f>
        <v>勾選組合</v>
      </c>
      <c r="N108" s="5" t="str">
        <f ca="1">IFERROR(__xludf.DUMMYFUNCTION("""COMPUTED_VALUE"""),"得分")</f>
        <v>得分</v>
      </c>
      <c r="O108" s="5" t="str">
        <f ca="1">IFERROR(__xludf.DUMMYFUNCTION("""COMPUTED_VALUE"""),"勾選組合")</f>
        <v>勾選組合</v>
      </c>
      <c r="P108" s="5" t="str">
        <f ca="1">IFERROR(__xludf.DUMMYFUNCTION("""COMPUTED_VALUE"""),"得分")</f>
        <v>得分</v>
      </c>
      <c r="Q108" s="5" t="str">
        <f ca="1">IFERROR(__xludf.DUMMYFUNCTION("""COMPUTED_VALUE"""),"勾選組合")</f>
        <v>勾選組合</v>
      </c>
      <c r="R108" s="5" t="str">
        <f ca="1">IFERROR(__xludf.DUMMYFUNCTION("""COMPUTED_VALUE"""),"得分")</f>
        <v>得分</v>
      </c>
      <c r="S108" s="5" t="str">
        <f ca="1">IFERROR(__xludf.DUMMYFUNCTION("""COMPUTED_VALUE"""),"勾選組合")</f>
        <v>勾選組合</v>
      </c>
      <c r="T108" s="5" t="str">
        <f ca="1">IFERROR(__xludf.DUMMYFUNCTION("""COMPUTED_VALUE"""),"得分")</f>
        <v>得分</v>
      </c>
      <c r="U108" s="5" t="str">
        <f ca="1">IFERROR(__xludf.DUMMYFUNCTION("""COMPUTED_VALUE"""),"勾選組合")</f>
        <v>勾選組合</v>
      </c>
      <c r="V108" s="5" t="str">
        <f ca="1">IFERROR(__xludf.DUMMYFUNCTION("""COMPUTED_VALUE"""),"得分")</f>
        <v>得分</v>
      </c>
      <c r="W108" s="5" t="str">
        <f ca="1">IFERROR(__xludf.DUMMYFUNCTION("""COMPUTED_VALUE"""),"勾選組合")</f>
        <v>勾選組合</v>
      </c>
      <c r="X108" s="5" t="str">
        <f ca="1">IFERROR(__xludf.DUMMYFUNCTION("""COMPUTED_VALUE"""),"得分")</f>
        <v>得分</v>
      </c>
      <c r="Y108" s="5" t="str">
        <f ca="1">IFERROR(__xludf.DUMMYFUNCTION("""COMPUTED_VALUE"""),"勾選組合")</f>
        <v>勾選組合</v>
      </c>
      <c r="Z108" s="5" t="str">
        <f ca="1">IFERROR(__xludf.DUMMYFUNCTION("""COMPUTED_VALUE"""),"得分")</f>
        <v>得分</v>
      </c>
      <c r="AA108" s="25" t="str">
        <f ca="1">IFERROR(__xludf.DUMMYFUNCTION("""COMPUTED_VALUE"""),"F1-c2-2(t)")</f>
        <v>F1-c2-2(t)</v>
      </c>
      <c r="AB108" s="20"/>
      <c r="AC108" s="22"/>
      <c r="AD108" s="2"/>
      <c r="AE108" s="2"/>
      <c r="AF108" s="2"/>
    </row>
    <row r="109" spans="1:32" ht="15.6">
      <c r="A109" s="36" t="str">
        <f ca="1">IFERROR(__xludf.DUMMYFUNCTION("""COMPUTED_VALUE"""),"過充電保護裝置通過認證")</f>
        <v>過充電保護裝置通過認證</v>
      </c>
      <c r="B109" s="10" t="b">
        <f ca="1">IFERROR(__xludf.DUMMYFUNCTION("""COMPUTED_VALUE"""),TRUE)</f>
        <v>1</v>
      </c>
      <c r="C109" s="11" t="str">
        <f ca="1">IFERROR(__xludf.DUMMYFUNCTION("""COMPUTED_VALUE"""),"取得 UL 1973 認證證書")</f>
        <v>取得 UL 1973 認證證書</v>
      </c>
      <c r="D109" s="33">
        <f ca="1">IFERROR(__xludf.DUMMYFUNCTION("""COMPUTED_VALUE"""),9.2)</f>
        <v>9.1999999999999993</v>
      </c>
      <c r="E109" s="35">
        <f ca="1">IFERROR(__xludf.DUMMYFUNCTION("""COMPUTED_VALUE"""),0.6)</f>
        <v>0.6</v>
      </c>
      <c r="F109" s="38">
        <f ca="1">IFERROR(__xludf.DUMMYFUNCTION("""COMPUTED_VALUE"""),0.879999999999999)</f>
        <v>0.87999999999999901</v>
      </c>
      <c r="G109" s="38">
        <f ca="1">IFERROR(__xludf.DUMMYFUNCTION("""COMPUTED_VALUE"""),0.12)</f>
        <v>0.12</v>
      </c>
      <c r="H109" s="6"/>
      <c r="I109" s="11" t="str">
        <f ca="1">IFERROR(__xludf.DUMMYFUNCTION("""COMPUTED_VALUE"""),"取得 UL 1973 認證證書")</f>
        <v>取得 UL 1973 認證證書</v>
      </c>
      <c r="J109" s="12">
        <f ca="1">IFERROR(__xludf.DUMMYFUNCTION("""COMPUTED_VALUE"""),8.6)</f>
        <v>8.6</v>
      </c>
      <c r="K109" s="13" t="b">
        <f ca="1">IFERROR(__xludf.DUMMYFUNCTION("""COMPUTED_VALUE"""),TRUE)</f>
        <v>1</v>
      </c>
      <c r="L109" s="33">
        <f ca="1">IFERROR(__xludf.DUMMYFUNCTION("""COMPUTED_VALUE"""),9.2)</f>
        <v>9.1999999999999993</v>
      </c>
      <c r="M109" s="13" t="b">
        <f ca="1">IFERROR(__xludf.DUMMYFUNCTION("""COMPUTED_VALUE"""),FALSE)</f>
        <v>0</v>
      </c>
      <c r="N109" s="33">
        <f ca="1">IFERROR(__xludf.DUMMYFUNCTION("""COMPUTED_VALUE"""),7.8)</f>
        <v>7.8</v>
      </c>
      <c r="O109" s="13" t="b">
        <f ca="1">IFERROR(__xludf.DUMMYFUNCTION("""COMPUTED_VALUE"""),TRUE)</f>
        <v>1</v>
      </c>
      <c r="P109" s="33">
        <f ca="1">IFERROR(__xludf.DUMMYFUNCTION("""COMPUTED_VALUE"""),9)</f>
        <v>9</v>
      </c>
      <c r="Q109" s="13" t="b">
        <f ca="1">IFERROR(__xludf.DUMMYFUNCTION("""COMPUTED_VALUE"""),FALSE)</f>
        <v>0</v>
      </c>
      <c r="R109" s="33">
        <f ca="1">IFERROR(__xludf.DUMMYFUNCTION("""COMPUTED_VALUE"""),9)</f>
        <v>9</v>
      </c>
      <c r="S109" s="13" t="b">
        <f ca="1">IFERROR(__xludf.DUMMYFUNCTION("""COMPUTED_VALUE"""),TRUE)</f>
        <v>1</v>
      </c>
      <c r="T109" s="33">
        <f ca="1">IFERROR(__xludf.DUMMYFUNCTION("""COMPUTED_VALUE"""),9)</f>
        <v>9</v>
      </c>
      <c r="U109" s="13" t="b">
        <f ca="1">IFERROR(__xludf.DUMMYFUNCTION("""COMPUTED_VALUE"""),TRUE)</f>
        <v>1</v>
      </c>
      <c r="V109" s="33">
        <f ca="1">IFERROR(__xludf.DUMMYFUNCTION("""COMPUTED_VALUE"""),8.6)</f>
        <v>8.6</v>
      </c>
      <c r="W109" s="13" t="b">
        <f ca="1">IFERROR(__xludf.DUMMYFUNCTION("""COMPUTED_VALUE"""),FALSE)</f>
        <v>0</v>
      </c>
      <c r="X109" s="33">
        <f ca="1">IFERROR(__xludf.DUMMYFUNCTION("""COMPUTED_VALUE"""),8.6)</f>
        <v>8.6</v>
      </c>
      <c r="Y109" s="13" t="b">
        <f ca="1">IFERROR(__xludf.DUMMYFUNCTION("""COMPUTED_VALUE"""),FALSE)</f>
        <v>0</v>
      </c>
      <c r="Z109" s="33">
        <f ca="1">IFERROR(__xludf.DUMMYFUNCTION("""COMPUTED_VALUE"""),8.5)</f>
        <v>8.5</v>
      </c>
      <c r="AA109" s="37">
        <f ca="1">IFERROR(__xludf.DUMMYFUNCTION("""COMPUTED_VALUE"""),0.114)</f>
        <v>0.114</v>
      </c>
      <c r="AB109" s="37">
        <f ca="1">IFERROR(__xludf.DUMMYFUNCTION("""COMPUTED_VALUE"""),0.12)</f>
        <v>0.12</v>
      </c>
      <c r="AC109" s="37">
        <f ca="1">IFERROR(__xludf.DUMMYFUNCTION("""COMPUTED_VALUE"""),0.126)</f>
        <v>0.126</v>
      </c>
      <c r="AD109" s="2"/>
      <c r="AE109" s="2"/>
      <c r="AF109" s="2"/>
    </row>
    <row r="110" spans="1:32" ht="15.6">
      <c r="A110" s="34"/>
      <c r="B110" s="10" t="b">
        <f ca="1">IFERROR(__xludf.DUMMYFUNCTION("""COMPUTED_VALUE"""),TRUE)</f>
        <v>1</v>
      </c>
      <c r="C110" s="11" t="str">
        <f ca="1">IFERROR(__xludf.DUMMYFUNCTION("""COMPUTED_VALUE"""),"取得 CNS 62619 認證證書")</f>
        <v>取得 CNS 62619 認證證書</v>
      </c>
      <c r="D110" s="34"/>
      <c r="E110" s="34"/>
      <c r="F110" s="34"/>
      <c r="G110" s="34"/>
      <c r="H110" s="6"/>
      <c r="I110" s="11" t="str">
        <f ca="1">IFERROR(__xludf.DUMMYFUNCTION("""COMPUTED_VALUE"""),"取得 CNS 62619 認證證書")</f>
        <v>取得 CNS 62619 認證證書</v>
      </c>
      <c r="J110" s="12">
        <f ca="1">IFERROR(__xludf.DUMMYFUNCTION("""COMPUTED_VALUE"""),8.6)</f>
        <v>8.6</v>
      </c>
      <c r="K110" s="14" t="b">
        <f ca="1">IFERROR(__xludf.DUMMYFUNCTION("""COMPUTED_VALUE"""),TRUE)</f>
        <v>1</v>
      </c>
      <c r="L110" s="34"/>
      <c r="M110" s="14" t="b">
        <f ca="1">IFERROR(__xludf.DUMMYFUNCTION("""COMPUTED_VALUE"""),FALSE)</f>
        <v>0</v>
      </c>
      <c r="N110" s="34"/>
      <c r="O110" s="14" t="b">
        <f ca="1">IFERROR(__xludf.DUMMYFUNCTION("""COMPUTED_VALUE"""),TRUE)</f>
        <v>1</v>
      </c>
      <c r="P110" s="34"/>
      <c r="Q110" s="14" t="b">
        <f ca="1">IFERROR(__xludf.DUMMYFUNCTION("""COMPUTED_VALUE"""),TRUE)</f>
        <v>1</v>
      </c>
      <c r="R110" s="34"/>
      <c r="S110" s="14" t="b">
        <f ca="1">IFERROR(__xludf.DUMMYFUNCTION("""COMPUTED_VALUE"""),FALSE)</f>
        <v>0</v>
      </c>
      <c r="T110" s="34"/>
      <c r="U110" s="14" t="b">
        <f ca="1">IFERROR(__xludf.DUMMYFUNCTION("""COMPUTED_VALUE"""),FALSE)</f>
        <v>0</v>
      </c>
      <c r="V110" s="34"/>
      <c r="W110" s="14" t="b">
        <f ca="1">IFERROR(__xludf.DUMMYFUNCTION("""COMPUTED_VALUE"""),TRUE)</f>
        <v>1</v>
      </c>
      <c r="X110" s="34"/>
      <c r="Y110" s="14" t="b">
        <f ca="1">IFERROR(__xludf.DUMMYFUNCTION("""COMPUTED_VALUE"""),FALSE)</f>
        <v>0</v>
      </c>
      <c r="Z110" s="34"/>
      <c r="AA110" s="34"/>
      <c r="AB110" s="34"/>
      <c r="AC110" s="34"/>
      <c r="AD110" s="2"/>
      <c r="AE110" s="2"/>
      <c r="AF110" s="2"/>
    </row>
    <row r="111" spans="1:32" ht="15.6">
      <c r="A111" s="27"/>
      <c r="B111" s="10" t="b">
        <f ca="1">IFERROR(__xludf.DUMMYFUNCTION("""COMPUTED_VALUE"""),TRUE)</f>
        <v>1</v>
      </c>
      <c r="C111" s="11" t="str">
        <f ca="1">IFERROR(__xludf.DUMMYFUNCTION("""COMPUTED_VALUE"""),"符合 IEC 60730 之測試報告")</f>
        <v>符合 IEC 60730 之測試報告</v>
      </c>
      <c r="D111" s="27"/>
      <c r="E111" s="27"/>
      <c r="F111" s="34"/>
      <c r="G111" s="34"/>
      <c r="H111" s="6"/>
      <c r="I111" s="11" t="str">
        <f ca="1">IFERROR(__xludf.DUMMYFUNCTION("""COMPUTED_VALUE"""),"符合 IEC 60730 之測試報告")</f>
        <v>符合 IEC 60730 之測試報告</v>
      </c>
      <c r="J111" s="12">
        <f ca="1">IFERROR(__xludf.DUMMYFUNCTION("""COMPUTED_VALUE"""),8.5)</f>
        <v>8.5</v>
      </c>
      <c r="K111" s="13" t="b">
        <f ca="1">IFERROR(__xludf.DUMMYFUNCTION("""COMPUTED_VALUE"""),TRUE)</f>
        <v>1</v>
      </c>
      <c r="L111" s="27"/>
      <c r="M111" s="13" t="b">
        <f ca="1">IFERROR(__xludf.DUMMYFUNCTION("""COMPUTED_VALUE"""),FALSE)</f>
        <v>0</v>
      </c>
      <c r="N111" s="27"/>
      <c r="O111" s="13" t="b">
        <f ca="1">IFERROR(__xludf.DUMMYFUNCTION("""COMPUTED_VALUE"""),FALSE)</f>
        <v>0</v>
      </c>
      <c r="P111" s="27"/>
      <c r="Q111" s="13" t="b">
        <f ca="1">IFERROR(__xludf.DUMMYFUNCTION("""COMPUTED_VALUE"""),TRUE)</f>
        <v>1</v>
      </c>
      <c r="R111" s="27"/>
      <c r="S111" s="13" t="b">
        <f ca="1">IFERROR(__xludf.DUMMYFUNCTION("""COMPUTED_VALUE"""),TRUE)</f>
        <v>1</v>
      </c>
      <c r="T111" s="27"/>
      <c r="U111" s="13" t="b">
        <f ca="1">IFERROR(__xludf.DUMMYFUNCTION("""COMPUTED_VALUE"""),FALSE)</f>
        <v>0</v>
      </c>
      <c r="V111" s="27"/>
      <c r="W111" s="13" t="b">
        <f ca="1">IFERROR(__xludf.DUMMYFUNCTION("""COMPUTED_VALUE"""),FALSE)</f>
        <v>0</v>
      </c>
      <c r="X111" s="27"/>
      <c r="Y111" s="13" t="b">
        <f ca="1">IFERROR(__xludf.DUMMYFUNCTION("""COMPUTED_VALUE"""),TRUE)</f>
        <v>1</v>
      </c>
      <c r="Z111" s="27"/>
      <c r="AA111" s="34"/>
      <c r="AB111" s="34"/>
      <c r="AC111" s="34"/>
      <c r="AD111" s="2"/>
      <c r="AE111" s="2"/>
      <c r="AF111" s="2"/>
    </row>
    <row r="112" spans="1:32" ht="15.6">
      <c r="A112" s="26" t="str">
        <f ca="1">IFERROR(__xludf.DUMMYFUNCTION("""COMPUTED_VALUE"""),"過充電保護裝置定期檢修")</f>
        <v>過充電保護裝置定期檢修</v>
      </c>
      <c r="B112" s="28" t="str">
        <f ca="1">IFERROR(__xludf.DUMMYFUNCTION("""COMPUTED_VALUE"""),"過充電保護裝置二年檢修1次")</f>
        <v>過充電保護裝置二年檢修1次</v>
      </c>
      <c r="C112" s="29"/>
      <c r="D112" s="32">
        <f ca="1">IFERROR(__xludf.DUMMYFUNCTION("""COMPUTED_VALUE"""),8.2)</f>
        <v>8.1999999999999993</v>
      </c>
      <c r="E112" s="39">
        <f ca="1">IFERROR(__xludf.DUMMYFUNCTION("""COMPUTED_VALUE"""),0.4)</f>
        <v>0.4</v>
      </c>
      <c r="F112" s="34"/>
      <c r="G112" s="34"/>
      <c r="H112" s="6"/>
      <c r="I112" s="7" t="str">
        <f ca="1">IFERROR(__xludf.DUMMYFUNCTION("""COMPUTED_VALUE"""),"過充電保護裝置一年檢修1次")</f>
        <v>過充電保護裝置一年檢修1次</v>
      </c>
      <c r="J112" s="8">
        <f ca="1">IFERROR(__xludf.DUMMYFUNCTION("""COMPUTED_VALUE"""),8.5)</f>
        <v>8.5</v>
      </c>
      <c r="K112" s="2"/>
      <c r="L112" s="9"/>
      <c r="M112" s="2"/>
      <c r="N112" s="9"/>
      <c r="O112" s="2"/>
      <c r="P112" s="9"/>
      <c r="Q112" s="2"/>
      <c r="R112" s="9"/>
      <c r="S112" s="2"/>
      <c r="T112" s="9"/>
      <c r="U112" s="2"/>
      <c r="V112" s="9"/>
      <c r="W112" s="2"/>
      <c r="X112" s="9"/>
      <c r="Y112" s="2"/>
      <c r="Z112" s="9"/>
      <c r="AA112" s="34"/>
      <c r="AB112" s="34"/>
      <c r="AC112" s="34"/>
      <c r="AD112" s="2"/>
      <c r="AE112" s="2"/>
      <c r="AF112" s="2"/>
    </row>
    <row r="113" spans="1:32" ht="15.6">
      <c r="A113" s="34"/>
      <c r="B113" s="40"/>
      <c r="C113" s="41"/>
      <c r="D113" s="34"/>
      <c r="E113" s="34"/>
      <c r="F113" s="34"/>
      <c r="G113" s="34"/>
      <c r="H113" s="6"/>
      <c r="I113" s="7" t="str">
        <f ca="1">IFERROR(__xludf.DUMMYFUNCTION("""COMPUTED_VALUE"""),"過充電保護裝置二年檢修1次")</f>
        <v>過充電保護裝置二年檢修1次</v>
      </c>
      <c r="J113" s="8">
        <f ca="1">IFERROR(__xludf.DUMMYFUNCTION("""COMPUTED_VALUE"""),8.2)</f>
        <v>8.1999999999999993</v>
      </c>
      <c r="K113" s="2"/>
      <c r="L113" s="9"/>
      <c r="M113" s="2"/>
      <c r="N113" s="9"/>
      <c r="O113" s="2"/>
      <c r="P113" s="9"/>
      <c r="Q113" s="2"/>
      <c r="R113" s="9"/>
      <c r="S113" s="2"/>
      <c r="T113" s="9"/>
      <c r="U113" s="2"/>
      <c r="V113" s="9"/>
      <c r="W113" s="2"/>
      <c r="X113" s="9"/>
      <c r="Y113" s="2"/>
      <c r="Z113" s="9"/>
      <c r="AA113" s="34"/>
      <c r="AB113" s="34"/>
      <c r="AC113" s="34"/>
      <c r="AD113" s="2"/>
      <c r="AE113" s="2"/>
      <c r="AF113" s="2"/>
    </row>
    <row r="114" spans="1:32" ht="15.6">
      <c r="A114" s="27"/>
      <c r="B114" s="30"/>
      <c r="C114" s="31"/>
      <c r="D114" s="27"/>
      <c r="E114" s="27"/>
      <c r="F114" s="27"/>
      <c r="G114" s="27"/>
      <c r="H114" s="6"/>
      <c r="I114" s="7" t="str">
        <f ca="1">IFERROR(__xludf.DUMMYFUNCTION("""COMPUTED_VALUE"""),"過充電保護裝置未定期檢修")</f>
        <v>過充電保護裝置未定期檢修</v>
      </c>
      <c r="J114" s="8">
        <f ca="1">IFERROR(__xludf.DUMMYFUNCTION("""COMPUTED_VALUE"""),7.5)</f>
        <v>7.5</v>
      </c>
      <c r="K114" s="2"/>
      <c r="L114" s="9"/>
      <c r="M114" s="2"/>
      <c r="N114" s="9"/>
      <c r="O114" s="2"/>
      <c r="P114" s="9"/>
      <c r="Q114" s="2"/>
      <c r="R114" s="9"/>
      <c r="S114" s="2"/>
      <c r="T114" s="9"/>
      <c r="U114" s="2"/>
      <c r="V114" s="9"/>
      <c r="W114" s="2"/>
      <c r="X114" s="9"/>
      <c r="Y114" s="2"/>
      <c r="Z114" s="9"/>
      <c r="AA114" s="27"/>
      <c r="AB114" s="27"/>
      <c r="AC114" s="27"/>
      <c r="AD114" s="2"/>
      <c r="AE114" s="2"/>
      <c r="AF114" s="2"/>
    </row>
    <row r="115" spans="1:32" ht="15.6">
      <c r="A115" s="19" t="str">
        <f ca="1">IFERROR(__xludf.DUMMYFUNCTION("IMPORTRANGE(""https://docs.google.com/spreadsheets/d/1g3k-_bsDSgGx-LrtXVu_8pmZey8G_3GZEmdJXJYtcxo/edit?gid=337295684#gid=337295684"",""'F1-d1-1'!A1:AC11"")"),"放電下限設定不當 F1-d1-1(t)")</f>
        <v>放電下限設定不當 F1-d1-1(t)</v>
      </c>
      <c r="B115" s="20"/>
      <c r="C115" s="20"/>
      <c r="D115" s="20"/>
      <c r="E115" s="20"/>
      <c r="F115" s="20"/>
      <c r="G115" s="20"/>
      <c r="H115" s="1"/>
      <c r="I115" s="21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2"/>
      <c r="AA115" s="23"/>
      <c r="AB115" s="24"/>
      <c r="AC115" s="24"/>
      <c r="AD115" s="2"/>
      <c r="AE115" s="2"/>
      <c r="AF115" s="2"/>
    </row>
    <row r="116" spans="1:32" ht="46.8">
      <c r="A116" s="3" t="str">
        <f ca="1">IFERROR(__xludf.DUMMYFUNCTION("""COMPUTED_VALUE"""),"確保可靠度的手段")</f>
        <v>確保可靠度的手段</v>
      </c>
      <c r="B116" s="25" t="str">
        <f ca="1">IFERROR(__xludf.DUMMYFUNCTION("""COMPUTED_VALUE"""),"確證方式")</f>
        <v>確證方式</v>
      </c>
      <c r="C116" s="22"/>
      <c r="D116" s="3" t="str">
        <f ca="1">IFERROR(__xludf.DUMMYFUNCTION("""COMPUTED_VALUE"""),"得分")</f>
        <v>得分</v>
      </c>
      <c r="E116" s="3" t="str">
        <f ca="1">IFERROR(__xludf.DUMMYFUNCTION("""COMPUTED_VALUE"""),"權重")</f>
        <v>權重</v>
      </c>
      <c r="F116" s="3" t="str">
        <f ca="1">IFERROR(__xludf.DUMMYFUNCTION("""COMPUTED_VALUE"""),"可靠度概率")</f>
        <v>可靠度概率</v>
      </c>
      <c r="G116" s="3" t="str">
        <f ca="1">IFERROR(__xludf.DUMMYFUNCTION("""COMPUTED_VALUE"""),"F1-d1-1(t)")</f>
        <v>F1-d1-1(t)</v>
      </c>
      <c r="H116" s="4"/>
      <c r="I116" s="5" t="str">
        <f ca="1">IFERROR(__xludf.DUMMYFUNCTION("""COMPUTED_VALUE"""),"調查問項")</f>
        <v>調查問項</v>
      </c>
      <c r="J116" s="5" t="str">
        <f ca="1">IFERROR(__xludf.DUMMYFUNCTION("""COMPUTED_VALUE"""),"分項分數")</f>
        <v>分項分數</v>
      </c>
      <c r="K116" s="5" t="str">
        <f ca="1">IFERROR(__xludf.DUMMYFUNCTION("""COMPUTED_VALUE"""),"勾選組合")</f>
        <v>勾選組合</v>
      </c>
      <c r="L116" s="5" t="str">
        <f ca="1">IFERROR(__xludf.DUMMYFUNCTION("""COMPUTED_VALUE"""),"得分")</f>
        <v>得分</v>
      </c>
      <c r="M116" s="5" t="str">
        <f ca="1">IFERROR(__xludf.DUMMYFUNCTION("""COMPUTED_VALUE"""),"勾選組合")</f>
        <v>勾選組合</v>
      </c>
      <c r="N116" s="5" t="str">
        <f ca="1">IFERROR(__xludf.DUMMYFUNCTION("""COMPUTED_VALUE"""),"得分")</f>
        <v>得分</v>
      </c>
      <c r="O116" s="5" t="str">
        <f ca="1">IFERROR(__xludf.DUMMYFUNCTION("""COMPUTED_VALUE"""),"勾選組合")</f>
        <v>勾選組合</v>
      </c>
      <c r="P116" s="5" t="str">
        <f ca="1">IFERROR(__xludf.DUMMYFUNCTION("""COMPUTED_VALUE"""),"得分")</f>
        <v>得分</v>
      </c>
      <c r="Q116" s="5" t="str">
        <f ca="1">IFERROR(__xludf.DUMMYFUNCTION("""COMPUTED_VALUE"""),"勾選組合")</f>
        <v>勾選組合</v>
      </c>
      <c r="R116" s="5" t="str">
        <f ca="1">IFERROR(__xludf.DUMMYFUNCTION("""COMPUTED_VALUE"""),"得分")</f>
        <v>得分</v>
      </c>
      <c r="S116" s="5" t="str">
        <f ca="1">IFERROR(__xludf.DUMMYFUNCTION("""COMPUTED_VALUE"""),"勾選組合")</f>
        <v>勾選組合</v>
      </c>
      <c r="T116" s="5" t="str">
        <f ca="1">IFERROR(__xludf.DUMMYFUNCTION("""COMPUTED_VALUE"""),"得分")</f>
        <v>得分</v>
      </c>
      <c r="U116" s="5" t="str">
        <f ca="1">IFERROR(__xludf.DUMMYFUNCTION("""COMPUTED_VALUE"""),"勾選組合")</f>
        <v>勾選組合</v>
      </c>
      <c r="V116" s="5" t="str">
        <f ca="1">IFERROR(__xludf.DUMMYFUNCTION("""COMPUTED_VALUE"""),"得分")</f>
        <v>得分</v>
      </c>
      <c r="W116" s="5" t="str">
        <f ca="1">IFERROR(__xludf.DUMMYFUNCTION("""COMPUTED_VALUE"""),"勾選組合")</f>
        <v>勾選組合</v>
      </c>
      <c r="X116" s="5" t="str">
        <f ca="1">IFERROR(__xludf.DUMMYFUNCTION("""COMPUTED_VALUE"""),"得分")</f>
        <v>得分</v>
      </c>
      <c r="Y116" s="5" t="str">
        <f ca="1">IFERROR(__xludf.DUMMYFUNCTION("""COMPUTED_VALUE"""),"勾選組合")</f>
        <v>勾選組合</v>
      </c>
      <c r="Z116" s="5" t="str">
        <f ca="1">IFERROR(__xludf.DUMMYFUNCTION("""COMPUTED_VALUE"""),"得分")</f>
        <v>得分</v>
      </c>
      <c r="AA116" s="25" t="str">
        <f ca="1">IFERROR(__xludf.DUMMYFUNCTION("""COMPUTED_VALUE"""),"F1-d1-1(t)")</f>
        <v>F1-d1-1(t)</v>
      </c>
      <c r="AB116" s="20"/>
      <c r="AC116" s="22"/>
      <c r="AD116" s="2"/>
      <c r="AE116" s="2"/>
      <c r="AF116" s="2"/>
    </row>
    <row r="117" spans="1:32" ht="15.6">
      <c r="A117" s="26" t="str">
        <f ca="1">IFERROR(__xludf.DUMMYFUNCTION("""COMPUTED_VALUE"""),"符合規定的放電下限設定")</f>
        <v>符合規定的放電下限設定</v>
      </c>
      <c r="B117" s="28" t="str">
        <f ca="1">IFERROR(__xludf.DUMMYFUNCTION("""COMPUTED_VALUE"""),"經由第三方查核確認")</f>
        <v>經由第三方查核確認</v>
      </c>
      <c r="C117" s="29"/>
      <c r="D117" s="32">
        <f ca="1">IFERROR(__xludf.DUMMYFUNCTION("""COMPUTED_VALUE"""),8.5)</f>
        <v>8.5</v>
      </c>
      <c r="E117" s="39">
        <f ca="1">IFERROR(__xludf.DUMMYFUNCTION("""COMPUTED_VALUE"""),0.25)</f>
        <v>0.25</v>
      </c>
      <c r="F117" s="38">
        <f ca="1">IFERROR(__xludf.DUMMYFUNCTION("""COMPUTED_VALUE"""),0.8885)</f>
        <v>0.88849999999999996</v>
      </c>
      <c r="G117" s="38">
        <f ca="1">IFERROR(__xludf.DUMMYFUNCTION("""COMPUTED_VALUE"""),0.1115)</f>
        <v>0.1115</v>
      </c>
      <c r="H117" s="6"/>
      <c r="I117" s="7" t="str">
        <f ca="1">IFERROR(__xludf.DUMMYFUNCTION("""COMPUTED_VALUE"""),"經由第三方查核確認")</f>
        <v>經由第三方查核確認</v>
      </c>
      <c r="J117" s="8">
        <f ca="1">IFERROR(__xludf.DUMMYFUNCTION("""COMPUTED_VALUE"""),8.5)</f>
        <v>8.5</v>
      </c>
      <c r="K117" s="2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37">
        <f ca="1">IFERROR(__xludf.DUMMYFUNCTION("""COMPUTED_VALUE"""),0.105925)</f>
        <v>0.10592500000000001</v>
      </c>
      <c r="AB117" s="37">
        <f ca="1">IFERROR(__xludf.DUMMYFUNCTION("""COMPUTED_VALUE"""),0.1115)</f>
        <v>0.1115</v>
      </c>
      <c r="AC117" s="37">
        <f ca="1">IFERROR(__xludf.DUMMYFUNCTION("""COMPUTED_VALUE"""),0.117075)</f>
        <v>0.117075</v>
      </c>
      <c r="AD117" s="2"/>
      <c r="AE117" s="2"/>
      <c r="AF117" s="2"/>
    </row>
    <row r="118" spans="1:32" ht="15.6">
      <c r="A118" s="27"/>
      <c r="B118" s="30"/>
      <c r="C118" s="31"/>
      <c r="D118" s="27"/>
      <c r="E118" s="27"/>
      <c r="F118" s="34"/>
      <c r="G118" s="34"/>
      <c r="H118" s="6"/>
      <c r="I118" s="7" t="str">
        <f ca="1">IFERROR(__xludf.DUMMYFUNCTION("""COMPUTED_VALUE"""),"未經由第三方查核確認")</f>
        <v>未經由第三方查核確認</v>
      </c>
      <c r="J118" s="8">
        <f ca="1">IFERROR(__xludf.DUMMYFUNCTION("""COMPUTED_VALUE"""),7.5)</f>
        <v>7.5</v>
      </c>
      <c r="K118" s="2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34"/>
      <c r="AB118" s="34"/>
      <c r="AC118" s="34"/>
      <c r="AD118" s="2"/>
      <c r="AE118" s="2"/>
      <c r="AF118" s="2"/>
    </row>
    <row r="119" spans="1:32" ht="31.2">
      <c r="A119" s="36" t="str">
        <f ca="1">IFERROR(__xludf.DUMMYFUNCTION("""COMPUTED_VALUE"""),"放電下限受到遠端監控")</f>
        <v>放電下限受到遠端監控</v>
      </c>
      <c r="B119" s="10" t="b">
        <f ca="1">IFERROR(__xludf.DUMMYFUNCTION("""COMPUTED_VALUE"""),TRUE)</f>
        <v>1</v>
      </c>
      <c r="C119" s="11" t="str">
        <f ca="1">IFERROR(__xludf.DUMMYFUNCTION("""COMPUTED_VALUE"""),"模組充電電壓受到遠端監控且設定值符合規範")</f>
        <v>模組充電電壓受到遠端監控且設定值符合規範</v>
      </c>
      <c r="D119" s="33">
        <f ca="1">IFERROR(__xludf.DUMMYFUNCTION("""COMPUTED_VALUE"""),9.2)</f>
        <v>9.1999999999999993</v>
      </c>
      <c r="E119" s="35">
        <f ca="1">IFERROR(__xludf.DUMMYFUNCTION("""COMPUTED_VALUE"""),0.25)</f>
        <v>0.25</v>
      </c>
      <c r="F119" s="34"/>
      <c r="G119" s="34"/>
      <c r="H119" s="6"/>
      <c r="I119" s="11" t="str">
        <f ca="1">IFERROR(__xludf.DUMMYFUNCTION("""COMPUTED_VALUE"""),"模組充電電壓受到遠端監控，且設定值符合規範")</f>
        <v>模組充電電壓受到遠端監控，且設定值符合規範</v>
      </c>
      <c r="J119" s="12">
        <f ca="1">IFERROR(__xludf.DUMMYFUNCTION("""COMPUTED_VALUE"""),8.5)</f>
        <v>8.5</v>
      </c>
      <c r="K119" s="13" t="b">
        <f ca="1">IFERROR(__xludf.DUMMYFUNCTION("""COMPUTED_VALUE"""),TRUE)</f>
        <v>1</v>
      </c>
      <c r="L119" s="33">
        <f ca="1">IFERROR(__xludf.DUMMYFUNCTION("""COMPUTED_VALUE"""),9.2)</f>
        <v>9.1999999999999993</v>
      </c>
      <c r="M119" s="13" t="b">
        <f ca="1">IFERROR(__xludf.DUMMYFUNCTION("""COMPUTED_VALUE"""),FALSE)</f>
        <v>0</v>
      </c>
      <c r="N119" s="33">
        <f ca="1">IFERROR(__xludf.DUMMYFUNCTION("""COMPUTED_VALUE"""),7.8)</f>
        <v>7.8</v>
      </c>
      <c r="O119" s="13" t="b">
        <f ca="1">IFERROR(__xludf.DUMMYFUNCTION("""COMPUTED_VALUE"""),TRUE)</f>
        <v>1</v>
      </c>
      <c r="P119" s="33">
        <f ca="1">IFERROR(__xludf.DUMMYFUNCTION("""COMPUTED_VALUE"""),8.5)</f>
        <v>8.5</v>
      </c>
      <c r="Q119" s="13" t="b">
        <f ca="1">IFERROR(__xludf.DUMMYFUNCTION("""COMPUTED_VALUE"""),FALSE)</f>
        <v>0</v>
      </c>
      <c r="R119" s="33">
        <f ca="1">IFERROR(__xludf.DUMMYFUNCTION("""COMPUTED_VALUE"""),8.5)</f>
        <v>8.5</v>
      </c>
      <c r="S119" s="2"/>
      <c r="T119" s="2"/>
      <c r="U119" s="2"/>
      <c r="V119" s="2"/>
      <c r="W119" s="2"/>
      <c r="X119" s="2"/>
      <c r="Y119" s="2"/>
      <c r="Z119" s="2"/>
      <c r="AA119" s="34"/>
      <c r="AB119" s="34"/>
      <c r="AC119" s="34"/>
      <c r="AD119" s="2"/>
      <c r="AE119" s="2"/>
      <c r="AF119" s="2"/>
    </row>
    <row r="120" spans="1:32" ht="31.2">
      <c r="A120" s="27"/>
      <c r="B120" s="10" t="b">
        <f ca="1">IFERROR(__xludf.DUMMYFUNCTION("""COMPUTED_VALUE"""),TRUE)</f>
        <v>1</v>
      </c>
      <c r="C120" s="11" t="str">
        <f ca="1">IFERROR(__xludf.DUMMYFUNCTION("""COMPUTED_VALUE"""),"機櫃充電電壓受到遠端監控且設定值符合規範")</f>
        <v>機櫃充電電壓受到遠端監控且設定值符合規範</v>
      </c>
      <c r="D120" s="27"/>
      <c r="E120" s="27"/>
      <c r="F120" s="34"/>
      <c r="G120" s="34"/>
      <c r="H120" s="6"/>
      <c r="I120" s="11" t="str">
        <f ca="1">IFERROR(__xludf.DUMMYFUNCTION("""COMPUTED_VALUE"""),"機櫃充電電壓受到遠端監控，且設定值符合規範")</f>
        <v>機櫃充電電壓受到遠端監控，且設定值符合規範</v>
      </c>
      <c r="J120" s="12">
        <f ca="1">IFERROR(__xludf.DUMMYFUNCTION("""COMPUTED_VALUE"""),8.5)</f>
        <v>8.5</v>
      </c>
      <c r="K120" s="14" t="b">
        <f ca="1">IFERROR(__xludf.DUMMYFUNCTION("""COMPUTED_VALUE"""),TRUE)</f>
        <v>1</v>
      </c>
      <c r="L120" s="27"/>
      <c r="M120" s="14" t="b">
        <f ca="1">IFERROR(__xludf.DUMMYFUNCTION("""COMPUTED_VALUE"""),FALSE)</f>
        <v>0</v>
      </c>
      <c r="N120" s="27"/>
      <c r="O120" s="14" t="b">
        <f ca="1">IFERROR(__xludf.DUMMYFUNCTION("""COMPUTED_VALUE"""),FALSE)</f>
        <v>0</v>
      </c>
      <c r="P120" s="27"/>
      <c r="Q120" s="14" t="b">
        <f ca="1">IFERROR(__xludf.DUMMYFUNCTION("""COMPUTED_VALUE"""),TRUE)</f>
        <v>1</v>
      </c>
      <c r="R120" s="27"/>
      <c r="S120" s="2"/>
      <c r="T120" s="2"/>
      <c r="U120" s="2"/>
      <c r="V120" s="2"/>
      <c r="W120" s="2"/>
      <c r="X120" s="2"/>
      <c r="Y120" s="2"/>
      <c r="Z120" s="2"/>
      <c r="AA120" s="34"/>
      <c r="AB120" s="34"/>
      <c r="AC120" s="34"/>
      <c r="AD120" s="2"/>
      <c r="AE120" s="2"/>
      <c r="AF120" s="2"/>
    </row>
    <row r="121" spans="1:32" ht="62.4">
      <c r="A121" s="36" t="str">
        <f ca="1">IFERROR(__xludf.DUMMYFUNCTION("""COMPUTED_VALUE"""),"放電下限異常發出警告訊號")</f>
        <v>放電下限異常發出警告訊號</v>
      </c>
      <c r="B121" s="10" t="b">
        <f ca="1">IFERROR(__xludf.DUMMYFUNCTION("""COMPUTED_VALUE"""),FALSE)</f>
        <v>0</v>
      </c>
      <c r="C121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21" s="33">
        <f ca="1">IFERROR(__xludf.DUMMYFUNCTION("""COMPUTED_VALUE"""),9)</f>
        <v>9</v>
      </c>
      <c r="E121" s="35">
        <f ca="1">IFERROR(__xludf.DUMMYFUNCTION("""COMPUTED_VALUE"""),0.4)</f>
        <v>0.4</v>
      </c>
      <c r="F121" s="34"/>
      <c r="G121" s="34"/>
      <c r="H121" s="6"/>
      <c r="I121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21" s="12">
        <f ca="1">IFERROR(__xludf.DUMMYFUNCTION("""COMPUTED_VALUE"""),8.8)</f>
        <v>8.8000000000000007</v>
      </c>
      <c r="K121" s="13" t="b">
        <f ca="1">IFERROR(__xludf.DUMMYFUNCTION("""COMPUTED_VALUE"""),TRUE)</f>
        <v>1</v>
      </c>
      <c r="L121" s="33">
        <f ca="1">IFERROR(__xludf.DUMMYFUNCTION("""COMPUTED_VALUE"""),9.2)</f>
        <v>9.1999999999999993</v>
      </c>
      <c r="M121" s="13" t="b">
        <f ca="1">IFERROR(__xludf.DUMMYFUNCTION("""COMPUTED_VALUE"""),FALSE)</f>
        <v>0</v>
      </c>
      <c r="N121" s="33">
        <f ca="1">IFERROR(__xludf.DUMMYFUNCTION("""COMPUTED_VALUE"""),7.6)</f>
        <v>7.6</v>
      </c>
      <c r="O121" s="13" t="b">
        <f ca="1">IFERROR(__xludf.DUMMYFUNCTION("""COMPUTED_VALUE"""),TRUE)</f>
        <v>1</v>
      </c>
      <c r="P121" s="33">
        <f ca="1">IFERROR(__xludf.DUMMYFUNCTION("""COMPUTED_VALUE"""),9)</f>
        <v>9</v>
      </c>
      <c r="Q121" s="13" t="b">
        <f ca="1">IFERROR(__xludf.DUMMYFUNCTION("""COMPUTED_VALUE"""),FALSE)</f>
        <v>0</v>
      </c>
      <c r="R121" s="33">
        <f ca="1">IFERROR(__xludf.DUMMYFUNCTION("""COMPUTED_VALUE"""),9)</f>
        <v>9</v>
      </c>
      <c r="S121" s="13" t="b">
        <f ca="1">IFERROR(__xludf.DUMMYFUNCTION("""COMPUTED_VALUE"""),TRUE)</f>
        <v>1</v>
      </c>
      <c r="T121" s="33">
        <f ca="1">IFERROR(__xludf.DUMMYFUNCTION("""COMPUTED_VALUE"""),9)</f>
        <v>9</v>
      </c>
      <c r="U121" s="13" t="b">
        <f ca="1">IFERROR(__xludf.DUMMYFUNCTION("""COMPUTED_VALUE"""),TRUE)</f>
        <v>1</v>
      </c>
      <c r="V121" s="33">
        <f ca="1">IFERROR(__xludf.DUMMYFUNCTION("""COMPUTED_VALUE"""),8.8)</f>
        <v>8.8000000000000007</v>
      </c>
      <c r="W121" s="13" t="b">
        <f ca="1">IFERROR(__xludf.DUMMYFUNCTION("""COMPUTED_VALUE"""),FALSE)</f>
        <v>0</v>
      </c>
      <c r="X121" s="33">
        <f ca="1">IFERROR(__xludf.DUMMYFUNCTION("""COMPUTED_VALUE"""),8.5)</f>
        <v>8.5</v>
      </c>
      <c r="Y121" s="13" t="b">
        <f ca="1">IFERROR(__xludf.DUMMYFUNCTION("""COMPUTED_VALUE"""),FALSE)</f>
        <v>0</v>
      </c>
      <c r="Z121" s="33">
        <f ca="1">IFERROR(__xludf.DUMMYFUNCTION("""COMPUTED_VALUE"""),8.5)</f>
        <v>8.5</v>
      </c>
      <c r="AA121" s="34"/>
      <c r="AB121" s="34"/>
      <c r="AC121" s="34"/>
      <c r="AD121" s="2"/>
      <c r="AE121" s="2"/>
      <c r="AF121" s="2"/>
    </row>
    <row r="122" spans="1:32" ht="31.2">
      <c r="A122" s="34"/>
      <c r="B122" s="10" t="b">
        <f ca="1">IFERROR(__xludf.DUMMYFUNCTION("""COMPUTED_VALUE"""),TRUE)</f>
        <v>1</v>
      </c>
      <c r="C122" s="11" t="str">
        <f ca="1">IFERROR(__xludf.DUMMYFUNCTION("""COMPUTED_VALUE"""),"BMS通過Test Report - IEC 60730-1 - Annex H測試")</f>
        <v>BMS通過Test Report - IEC 60730-1 - Annex H測試</v>
      </c>
      <c r="D122" s="34"/>
      <c r="E122" s="34"/>
      <c r="F122" s="34"/>
      <c r="G122" s="34"/>
      <c r="H122" s="6"/>
      <c r="I122" s="11" t="str">
        <f ca="1">IFERROR(__xludf.DUMMYFUNCTION("""COMPUTED_VALUE"""),"BMS通過Test Report - IEC 60730-1 - Annex H測試")</f>
        <v>BMS通過Test Report - IEC 60730-1 - Annex H測試</v>
      </c>
      <c r="J122" s="12">
        <f ca="1">IFERROR(__xludf.DUMMYFUNCTION("""COMPUTED_VALUE"""),8.5)</f>
        <v>8.5</v>
      </c>
      <c r="K122" s="14" t="b">
        <f ca="1">IFERROR(__xludf.DUMMYFUNCTION("""COMPUTED_VALUE"""),TRUE)</f>
        <v>1</v>
      </c>
      <c r="L122" s="34"/>
      <c r="M122" s="14" t="b">
        <f ca="1">IFERROR(__xludf.DUMMYFUNCTION("""COMPUTED_VALUE"""),FALSE)</f>
        <v>0</v>
      </c>
      <c r="N122" s="34"/>
      <c r="O122" s="14" t="b">
        <f ca="1">IFERROR(__xludf.DUMMYFUNCTION("""COMPUTED_VALUE"""),TRUE)</f>
        <v>1</v>
      </c>
      <c r="P122" s="34"/>
      <c r="Q122" s="14" t="b">
        <f ca="1">IFERROR(__xludf.DUMMYFUNCTION("""COMPUTED_VALUE"""),TRUE)</f>
        <v>1</v>
      </c>
      <c r="R122" s="34"/>
      <c r="S122" s="14" t="b">
        <f ca="1">IFERROR(__xludf.DUMMYFUNCTION("""COMPUTED_VALUE"""),FALSE)</f>
        <v>0</v>
      </c>
      <c r="T122" s="34"/>
      <c r="U122" s="14" t="b">
        <f ca="1">IFERROR(__xludf.DUMMYFUNCTION("""COMPUTED_VALUE"""),FALSE)</f>
        <v>0</v>
      </c>
      <c r="V122" s="34"/>
      <c r="W122" s="14" t="b">
        <f ca="1">IFERROR(__xludf.DUMMYFUNCTION("""COMPUTED_VALUE"""),TRUE)</f>
        <v>1</v>
      </c>
      <c r="X122" s="34"/>
      <c r="Y122" s="14" t="b">
        <f ca="1">IFERROR(__xludf.DUMMYFUNCTION("""COMPUTED_VALUE"""),FALSE)</f>
        <v>0</v>
      </c>
      <c r="Z122" s="34"/>
      <c r="AA122" s="34"/>
      <c r="AB122" s="34"/>
      <c r="AC122" s="34"/>
      <c r="AD122" s="2"/>
      <c r="AE122" s="2"/>
      <c r="AF122" s="2"/>
    </row>
    <row r="123" spans="1:32" ht="31.2">
      <c r="A123" s="27"/>
      <c r="B123" s="10" t="b">
        <f ca="1">IFERROR(__xludf.DUMMYFUNCTION("""COMPUTED_VALUE"""),TRUE)</f>
        <v>1</v>
      </c>
      <c r="C123" s="11" t="str">
        <f ca="1">IFERROR(__xludf.DUMMYFUNCTION("""COMPUTED_VALUE"""),"異常訊號可同時通知現場及遠端管理人員")</f>
        <v>異常訊號可同時通知現場及遠端管理人員</v>
      </c>
      <c r="D123" s="27"/>
      <c r="E123" s="27"/>
      <c r="F123" s="34"/>
      <c r="G123" s="34"/>
      <c r="H123" s="6"/>
      <c r="I123" s="11" t="str">
        <f ca="1">IFERROR(__xludf.DUMMYFUNCTION("""COMPUTED_VALUE"""),"異常訊號可同時通知現場及遠端管理人員")</f>
        <v>異常訊號可同時通知現場及遠端管理人員</v>
      </c>
      <c r="J123" s="12">
        <f ca="1">IFERROR(__xludf.DUMMYFUNCTION("""COMPUTED_VALUE"""),8.5)</f>
        <v>8.5</v>
      </c>
      <c r="K123" s="13" t="b">
        <f ca="1">IFERROR(__xludf.DUMMYFUNCTION("""COMPUTED_VALUE"""),TRUE)</f>
        <v>1</v>
      </c>
      <c r="L123" s="27"/>
      <c r="M123" s="13" t="b">
        <f ca="1">IFERROR(__xludf.DUMMYFUNCTION("""COMPUTED_VALUE"""),FALSE)</f>
        <v>0</v>
      </c>
      <c r="N123" s="27"/>
      <c r="O123" s="13" t="b">
        <f ca="1">IFERROR(__xludf.DUMMYFUNCTION("""COMPUTED_VALUE"""),FALSE)</f>
        <v>0</v>
      </c>
      <c r="P123" s="27"/>
      <c r="Q123" s="13" t="b">
        <f ca="1">IFERROR(__xludf.DUMMYFUNCTION("""COMPUTED_VALUE"""),TRUE)</f>
        <v>1</v>
      </c>
      <c r="R123" s="27"/>
      <c r="S123" s="13" t="b">
        <f ca="1">IFERROR(__xludf.DUMMYFUNCTION("""COMPUTED_VALUE"""),TRUE)</f>
        <v>1</v>
      </c>
      <c r="T123" s="27"/>
      <c r="U123" s="13" t="b">
        <f ca="1">IFERROR(__xludf.DUMMYFUNCTION("""COMPUTED_VALUE"""),FALSE)</f>
        <v>0</v>
      </c>
      <c r="V123" s="27"/>
      <c r="W123" s="13" t="b">
        <f ca="1">IFERROR(__xludf.DUMMYFUNCTION("""COMPUTED_VALUE"""),FALSE)</f>
        <v>0</v>
      </c>
      <c r="X123" s="27"/>
      <c r="Y123" s="13" t="b">
        <f ca="1">IFERROR(__xludf.DUMMYFUNCTION("""COMPUTED_VALUE"""),TRUE)</f>
        <v>1</v>
      </c>
      <c r="Z123" s="27"/>
      <c r="AA123" s="34"/>
      <c r="AB123" s="34"/>
      <c r="AC123" s="34"/>
      <c r="AD123" s="2"/>
      <c r="AE123" s="2"/>
      <c r="AF123" s="2"/>
    </row>
    <row r="124" spans="1:32" ht="15.6">
      <c r="A124" s="26" t="str">
        <f ca="1">IFERROR(__xludf.DUMMYFUNCTION("""COMPUTED_VALUE"""),"放電下限的歷史紀錄")</f>
        <v>放電下限的歷史紀錄</v>
      </c>
      <c r="B124" s="28" t="str">
        <f ca="1">IFERROR(__xludf.DUMMYFUNCTION("""COMPUTED_VALUE"""),"歷史紀錄保存完整")</f>
        <v>歷史紀錄保存完整</v>
      </c>
      <c r="C124" s="29"/>
      <c r="D124" s="32">
        <f ca="1">IFERROR(__xludf.DUMMYFUNCTION("""COMPUTED_VALUE"""),8.6)</f>
        <v>8.6</v>
      </c>
      <c r="E124" s="39">
        <f ca="1">IFERROR(__xludf.DUMMYFUNCTION("""COMPUTED_VALUE"""),0.1)</f>
        <v>0.1</v>
      </c>
      <c r="F124" s="34"/>
      <c r="G124" s="34"/>
      <c r="H124" s="6"/>
      <c r="I124" s="7" t="str">
        <f ca="1">IFERROR(__xludf.DUMMYFUNCTION("""COMPUTED_VALUE"""),"歷史紀錄保存完整")</f>
        <v>歷史紀錄保存完整</v>
      </c>
      <c r="J124" s="8">
        <f ca="1">IFERROR(__xludf.DUMMYFUNCTION("""COMPUTED_VALUE"""),8.6)</f>
        <v>8.6</v>
      </c>
      <c r="K124" s="2"/>
      <c r="L124" s="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34"/>
      <c r="AB124" s="34"/>
      <c r="AC124" s="34"/>
      <c r="AD124" s="2"/>
      <c r="AE124" s="2"/>
      <c r="AF124" s="2"/>
    </row>
    <row r="125" spans="1:32" ht="15.6">
      <c r="A125" s="27"/>
      <c r="B125" s="30"/>
      <c r="C125" s="31"/>
      <c r="D125" s="27"/>
      <c r="E125" s="27"/>
      <c r="F125" s="27"/>
      <c r="G125" s="27"/>
      <c r="H125" s="6"/>
      <c r="I125" s="7" t="str">
        <f ca="1">IFERROR(__xludf.DUMMYFUNCTION("""COMPUTED_VALUE"""),"歷史紀錄未保存完整")</f>
        <v>歷史紀錄未保存完整</v>
      </c>
      <c r="J125" s="8">
        <f ca="1">IFERROR(__xludf.DUMMYFUNCTION("""COMPUTED_VALUE"""),7.8)</f>
        <v>7.8</v>
      </c>
      <c r="K125" s="2"/>
      <c r="L125" s="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7"/>
      <c r="AB125" s="27"/>
      <c r="AC125" s="27"/>
      <c r="AD125" s="2"/>
      <c r="AE125" s="2"/>
      <c r="AF125" s="2"/>
    </row>
    <row r="126" spans="1:32" ht="15.6">
      <c r="A126" s="19" t="str">
        <f ca="1">IFERROR(__xludf.DUMMYFUNCTION("IMPORTRANGE(""https://docs.google.com/spreadsheets/d/1g3k-_bsDSgGx-LrtXVu_8pmZey8G_3GZEmdJXJYtcxo/edit?gid=67389249#gid=67389249"",""'F1-d1-2'!A1:AC10"")"),"放電下限控制器故障 F1-d1-2(t)")</f>
        <v>放電下限控制器故障 F1-d1-2(t)</v>
      </c>
      <c r="B126" s="20"/>
      <c r="C126" s="20"/>
      <c r="D126" s="20"/>
      <c r="E126" s="20"/>
      <c r="F126" s="20"/>
      <c r="G126" s="20"/>
      <c r="H126" s="1"/>
      <c r="I126" s="21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2"/>
      <c r="AA126" s="23"/>
      <c r="AB126" s="24"/>
      <c r="AC126" s="24"/>
      <c r="AD126" s="2"/>
      <c r="AE126" s="2"/>
      <c r="AF126" s="2"/>
    </row>
    <row r="127" spans="1:32" ht="46.8">
      <c r="A127" s="3" t="str">
        <f ca="1">IFERROR(__xludf.DUMMYFUNCTION("""COMPUTED_VALUE"""),"確保可靠度的手段")</f>
        <v>確保可靠度的手段</v>
      </c>
      <c r="B127" s="25" t="str">
        <f ca="1">IFERROR(__xludf.DUMMYFUNCTION("""COMPUTED_VALUE"""),"確證方式")</f>
        <v>確證方式</v>
      </c>
      <c r="C127" s="22"/>
      <c r="D127" s="3" t="str">
        <f ca="1">IFERROR(__xludf.DUMMYFUNCTION("""COMPUTED_VALUE"""),"得分")</f>
        <v>得分</v>
      </c>
      <c r="E127" s="3" t="str">
        <f ca="1">IFERROR(__xludf.DUMMYFUNCTION("""COMPUTED_VALUE"""),"權重")</f>
        <v>權重</v>
      </c>
      <c r="F127" s="3" t="str">
        <f ca="1">IFERROR(__xludf.DUMMYFUNCTION("""COMPUTED_VALUE"""),"可靠度
 概率")</f>
        <v>可靠度
 概率</v>
      </c>
      <c r="G127" s="3" t="str">
        <f ca="1">IFERROR(__xludf.DUMMYFUNCTION("""COMPUTED_VALUE"""),"F1-d1-2(t)")</f>
        <v>F1-d1-2(t)</v>
      </c>
      <c r="H127" s="4"/>
      <c r="I127" s="5" t="str">
        <f ca="1">IFERROR(__xludf.DUMMYFUNCTION("""COMPUTED_VALUE"""),"調查問項")</f>
        <v>調查問項</v>
      </c>
      <c r="J127" s="5" t="str">
        <f ca="1">IFERROR(__xludf.DUMMYFUNCTION("""COMPUTED_VALUE"""),"分項分數")</f>
        <v>分項分數</v>
      </c>
      <c r="K127" s="5" t="str">
        <f ca="1">IFERROR(__xludf.DUMMYFUNCTION("""COMPUTED_VALUE"""),"勾選組合")</f>
        <v>勾選組合</v>
      </c>
      <c r="L127" s="5" t="str">
        <f ca="1">IFERROR(__xludf.DUMMYFUNCTION("""COMPUTED_VALUE"""),"得分")</f>
        <v>得分</v>
      </c>
      <c r="M127" s="5" t="str">
        <f ca="1">IFERROR(__xludf.DUMMYFUNCTION("""COMPUTED_VALUE"""),"勾選組合")</f>
        <v>勾選組合</v>
      </c>
      <c r="N127" s="5" t="str">
        <f ca="1">IFERROR(__xludf.DUMMYFUNCTION("""COMPUTED_VALUE"""),"得分")</f>
        <v>得分</v>
      </c>
      <c r="O127" s="5" t="str">
        <f ca="1">IFERROR(__xludf.DUMMYFUNCTION("""COMPUTED_VALUE"""),"勾選組合")</f>
        <v>勾選組合</v>
      </c>
      <c r="P127" s="5" t="str">
        <f ca="1">IFERROR(__xludf.DUMMYFUNCTION("""COMPUTED_VALUE"""),"得分")</f>
        <v>得分</v>
      </c>
      <c r="Q127" s="5" t="str">
        <f ca="1">IFERROR(__xludf.DUMMYFUNCTION("""COMPUTED_VALUE"""),"勾選組合")</f>
        <v>勾選組合</v>
      </c>
      <c r="R127" s="5" t="str">
        <f ca="1">IFERROR(__xludf.DUMMYFUNCTION("""COMPUTED_VALUE"""),"得分")</f>
        <v>得分</v>
      </c>
      <c r="S127" s="5" t="str">
        <f ca="1">IFERROR(__xludf.DUMMYFUNCTION("""COMPUTED_VALUE"""),"勾選組合")</f>
        <v>勾選組合</v>
      </c>
      <c r="T127" s="5" t="str">
        <f ca="1">IFERROR(__xludf.DUMMYFUNCTION("""COMPUTED_VALUE"""),"得分")</f>
        <v>得分</v>
      </c>
      <c r="U127" s="5" t="str">
        <f ca="1">IFERROR(__xludf.DUMMYFUNCTION("""COMPUTED_VALUE"""),"勾選組合")</f>
        <v>勾選組合</v>
      </c>
      <c r="V127" s="5" t="str">
        <f ca="1">IFERROR(__xludf.DUMMYFUNCTION("""COMPUTED_VALUE"""),"得分")</f>
        <v>得分</v>
      </c>
      <c r="W127" s="5" t="str">
        <f ca="1">IFERROR(__xludf.DUMMYFUNCTION("""COMPUTED_VALUE"""),"勾選組合")</f>
        <v>勾選組合</v>
      </c>
      <c r="X127" s="5" t="str">
        <f ca="1">IFERROR(__xludf.DUMMYFUNCTION("""COMPUTED_VALUE"""),"得分")</f>
        <v>得分</v>
      </c>
      <c r="Y127" s="5" t="str">
        <f ca="1">IFERROR(__xludf.DUMMYFUNCTION("""COMPUTED_VALUE"""),"勾選組合")</f>
        <v>勾選組合</v>
      </c>
      <c r="Z127" s="5" t="str">
        <f ca="1">IFERROR(__xludf.DUMMYFUNCTION("""COMPUTED_VALUE"""),"得分")</f>
        <v>得分</v>
      </c>
      <c r="AA127" s="25" t="str">
        <f ca="1">IFERROR(__xludf.DUMMYFUNCTION("""COMPUTED_VALUE"""),"F1-d1-2(t)")</f>
        <v>F1-d1-2(t)</v>
      </c>
      <c r="AB127" s="20"/>
      <c r="AC127" s="22"/>
      <c r="AD127" s="2"/>
      <c r="AE127" s="2"/>
      <c r="AF127" s="2"/>
    </row>
    <row r="128" spans="1:32" ht="15.6">
      <c r="A128" s="36" t="str">
        <f ca="1">IFERROR(__xludf.DUMMYFUNCTION("""COMPUTED_VALUE"""),"放電下限控制器通過認證")</f>
        <v>放電下限控制器通過認證</v>
      </c>
      <c r="B128" s="10" t="b">
        <f ca="1">IFERROR(__xludf.DUMMYFUNCTION("""COMPUTED_VALUE"""),TRUE)</f>
        <v>1</v>
      </c>
      <c r="C128" s="11" t="str">
        <f ca="1">IFERROR(__xludf.DUMMYFUNCTION("""COMPUTED_VALUE"""),"取得 UL 1973 認證證書")</f>
        <v>取得 UL 1973 認證證書</v>
      </c>
      <c r="D128" s="33">
        <f ca="1">IFERROR(__xludf.DUMMYFUNCTION("""COMPUTED_VALUE"""),9.2)</f>
        <v>9.1999999999999993</v>
      </c>
      <c r="E128" s="35">
        <f ca="1">IFERROR(__xludf.DUMMYFUNCTION("""COMPUTED_VALUE"""),0.4)</f>
        <v>0.4</v>
      </c>
      <c r="F128" s="38">
        <f ca="1">IFERROR(__xludf.DUMMYFUNCTION("""COMPUTED_VALUE"""),0.871999999999999)</f>
        <v>0.871999999999999</v>
      </c>
      <c r="G128" s="38">
        <f ca="1">IFERROR(__xludf.DUMMYFUNCTION("""COMPUTED_VALUE"""),0.128)</f>
        <v>0.128</v>
      </c>
      <c r="H128" s="6"/>
      <c r="I128" s="11" t="str">
        <f ca="1">IFERROR(__xludf.DUMMYFUNCTION("""COMPUTED_VALUE"""),"取得 UL 1973 認證證書")</f>
        <v>取得 UL 1973 認證證書</v>
      </c>
      <c r="J128" s="12">
        <f ca="1">IFERROR(__xludf.DUMMYFUNCTION("""COMPUTED_VALUE"""),8.6)</f>
        <v>8.6</v>
      </c>
      <c r="K128" s="13" t="b">
        <f ca="1">IFERROR(__xludf.DUMMYFUNCTION("""COMPUTED_VALUE"""),TRUE)</f>
        <v>1</v>
      </c>
      <c r="L128" s="33">
        <f ca="1">IFERROR(__xludf.DUMMYFUNCTION("""COMPUTED_VALUE"""),9.2)</f>
        <v>9.1999999999999993</v>
      </c>
      <c r="M128" s="13" t="b">
        <f ca="1">IFERROR(__xludf.DUMMYFUNCTION("""COMPUTED_VALUE"""),FALSE)</f>
        <v>0</v>
      </c>
      <c r="N128" s="33">
        <f ca="1">IFERROR(__xludf.DUMMYFUNCTION("""COMPUTED_VALUE"""),7.8)</f>
        <v>7.8</v>
      </c>
      <c r="O128" s="13" t="b">
        <f ca="1">IFERROR(__xludf.DUMMYFUNCTION("""COMPUTED_VALUE"""),TRUE)</f>
        <v>1</v>
      </c>
      <c r="P128" s="33">
        <f ca="1">IFERROR(__xludf.DUMMYFUNCTION("""COMPUTED_VALUE"""),9)</f>
        <v>9</v>
      </c>
      <c r="Q128" s="13" t="b">
        <f ca="1">IFERROR(__xludf.DUMMYFUNCTION("""COMPUTED_VALUE"""),FALSE)</f>
        <v>0</v>
      </c>
      <c r="R128" s="33">
        <f ca="1">IFERROR(__xludf.DUMMYFUNCTION("""COMPUTED_VALUE"""),9)</f>
        <v>9</v>
      </c>
      <c r="S128" s="13" t="b">
        <f ca="1">IFERROR(__xludf.DUMMYFUNCTION("""COMPUTED_VALUE"""),TRUE)</f>
        <v>1</v>
      </c>
      <c r="T128" s="33">
        <f ca="1">IFERROR(__xludf.DUMMYFUNCTION("""COMPUTED_VALUE"""),9)</f>
        <v>9</v>
      </c>
      <c r="U128" s="13" t="b">
        <f ca="1">IFERROR(__xludf.DUMMYFUNCTION("""COMPUTED_VALUE"""),TRUE)</f>
        <v>1</v>
      </c>
      <c r="V128" s="33">
        <f ca="1">IFERROR(__xludf.DUMMYFUNCTION("""COMPUTED_VALUE"""),8.6)</f>
        <v>8.6</v>
      </c>
      <c r="W128" s="13" t="b">
        <f ca="1">IFERROR(__xludf.DUMMYFUNCTION("""COMPUTED_VALUE"""),FALSE)</f>
        <v>0</v>
      </c>
      <c r="X128" s="33">
        <f ca="1">IFERROR(__xludf.DUMMYFUNCTION("""COMPUTED_VALUE"""),8.6)</f>
        <v>8.6</v>
      </c>
      <c r="Y128" s="13" t="b">
        <f ca="1">IFERROR(__xludf.DUMMYFUNCTION("""COMPUTED_VALUE"""),FALSE)</f>
        <v>0</v>
      </c>
      <c r="Z128" s="33">
        <f ca="1">IFERROR(__xludf.DUMMYFUNCTION("""COMPUTED_VALUE"""),8.5)</f>
        <v>8.5</v>
      </c>
      <c r="AA128" s="37">
        <f ca="1">IFERROR(__xludf.DUMMYFUNCTION("""COMPUTED_VALUE"""),0.1216)</f>
        <v>0.1216</v>
      </c>
      <c r="AB128" s="37">
        <f ca="1">IFERROR(__xludf.DUMMYFUNCTION("""COMPUTED_VALUE"""),0.128)</f>
        <v>0.128</v>
      </c>
      <c r="AC128" s="37">
        <f ca="1">IFERROR(__xludf.DUMMYFUNCTION("""COMPUTED_VALUE"""),0.1344)</f>
        <v>0.13439999999999999</v>
      </c>
      <c r="AD128" s="2"/>
      <c r="AE128" s="2"/>
      <c r="AF128" s="2"/>
    </row>
    <row r="129" spans="1:32" ht="15.6">
      <c r="A129" s="34"/>
      <c r="B129" s="10" t="b">
        <f ca="1">IFERROR(__xludf.DUMMYFUNCTION("""COMPUTED_VALUE"""),TRUE)</f>
        <v>1</v>
      </c>
      <c r="C129" s="11" t="str">
        <f ca="1">IFERROR(__xludf.DUMMYFUNCTION("""COMPUTED_VALUE"""),"取得 CNS 62619 認證證書")</f>
        <v>取得 CNS 62619 認證證書</v>
      </c>
      <c r="D129" s="34"/>
      <c r="E129" s="34"/>
      <c r="F129" s="34"/>
      <c r="G129" s="34"/>
      <c r="H129" s="6"/>
      <c r="I129" s="11" t="str">
        <f ca="1">IFERROR(__xludf.DUMMYFUNCTION("""COMPUTED_VALUE"""),"取得 CNS 62619 認證證書")</f>
        <v>取得 CNS 62619 認證證書</v>
      </c>
      <c r="J129" s="12">
        <f ca="1">IFERROR(__xludf.DUMMYFUNCTION("""COMPUTED_VALUE"""),8.6)</f>
        <v>8.6</v>
      </c>
      <c r="K129" s="14" t="b">
        <f ca="1">IFERROR(__xludf.DUMMYFUNCTION("""COMPUTED_VALUE"""),TRUE)</f>
        <v>1</v>
      </c>
      <c r="L129" s="34"/>
      <c r="M129" s="14" t="b">
        <f ca="1">IFERROR(__xludf.DUMMYFUNCTION("""COMPUTED_VALUE"""),FALSE)</f>
        <v>0</v>
      </c>
      <c r="N129" s="34"/>
      <c r="O129" s="14" t="b">
        <f ca="1">IFERROR(__xludf.DUMMYFUNCTION("""COMPUTED_VALUE"""),TRUE)</f>
        <v>1</v>
      </c>
      <c r="P129" s="34"/>
      <c r="Q129" s="14" t="b">
        <f ca="1">IFERROR(__xludf.DUMMYFUNCTION("""COMPUTED_VALUE"""),TRUE)</f>
        <v>1</v>
      </c>
      <c r="R129" s="34"/>
      <c r="S129" s="14" t="b">
        <f ca="1">IFERROR(__xludf.DUMMYFUNCTION("""COMPUTED_VALUE"""),FALSE)</f>
        <v>0</v>
      </c>
      <c r="T129" s="34"/>
      <c r="U129" s="14" t="b">
        <f ca="1">IFERROR(__xludf.DUMMYFUNCTION("""COMPUTED_VALUE"""),FALSE)</f>
        <v>0</v>
      </c>
      <c r="V129" s="34"/>
      <c r="W129" s="14" t="b">
        <f ca="1">IFERROR(__xludf.DUMMYFUNCTION("""COMPUTED_VALUE"""),TRUE)</f>
        <v>1</v>
      </c>
      <c r="X129" s="34"/>
      <c r="Y129" s="14" t="b">
        <f ca="1">IFERROR(__xludf.DUMMYFUNCTION("""COMPUTED_VALUE"""),FALSE)</f>
        <v>0</v>
      </c>
      <c r="Z129" s="34"/>
      <c r="AA129" s="34"/>
      <c r="AB129" s="34"/>
      <c r="AC129" s="34"/>
      <c r="AD129" s="2"/>
      <c r="AE129" s="2"/>
      <c r="AF129" s="2"/>
    </row>
    <row r="130" spans="1:32" ht="15.6">
      <c r="A130" s="27"/>
      <c r="B130" s="10" t="b">
        <f ca="1">IFERROR(__xludf.DUMMYFUNCTION("""COMPUTED_VALUE"""),TRUE)</f>
        <v>1</v>
      </c>
      <c r="C130" s="11" t="str">
        <f ca="1">IFERROR(__xludf.DUMMYFUNCTION("""COMPUTED_VALUE"""),"符合 IEC 60730 之測試報告")</f>
        <v>符合 IEC 60730 之測試報告</v>
      </c>
      <c r="D130" s="27"/>
      <c r="E130" s="27"/>
      <c r="F130" s="34"/>
      <c r="G130" s="34"/>
      <c r="H130" s="6"/>
      <c r="I130" s="11" t="str">
        <f ca="1">IFERROR(__xludf.DUMMYFUNCTION("""COMPUTED_VALUE"""),"符合 IEC 60730 之測試報告")</f>
        <v>符合 IEC 60730 之測試報告</v>
      </c>
      <c r="J130" s="12">
        <f ca="1">IFERROR(__xludf.DUMMYFUNCTION("""COMPUTED_VALUE"""),8.5)</f>
        <v>8.5</v>
      </c>
      <c r="K130" s="13" t="b">
        <f ca="1">IFERROR(__xludf.DUMMYFUNCTION("""COMPUTED_VALUE"""),TRUE)</f>
        <v>1</v>
      </c>
      <c r="L130" s="27"/>
      <c r="M130" s="13" t="b">
        <f ca="1">IFERROR(__xludf.DUMMYFUNCTION("""COMPUTED_VALUE"""),FALSE)</f>
        <v>0</v>
      </c>
      <c r="N130" s="27"/>
      <c r="O130" s="13" t="b">
        <f ca="1">IFERROR(__xludf.DUMMYFUNCTION("""COMPUTED_VALUE"""),FALSE)</f>
        <v>0</v>
      </c>
      <c r="P130" s="27"/>
      <c r="Q130" s="13" t="b">
        <f ca="1">IFERROR(__xludf.DUMMYFUNCTION("""COMPUTED_VALUE"""),TRUE)</f>
        <v>1</v>
      </c>
      <c r="R130" s="27"/>
      <c r="S130" s="13" t="b">
        <f ca="1">IFERROR(__xludf.DUMMYFUNCTION("""COMPUTED_VALUE"""),TRUE)</f>
        <v>1</v>
      </c>
      <c r="T130" s="27"/>
      <c r="U130" s="13" t="b">
        <f ca="1">IFERROR(__xludf.DUMMYFUNCTION("""COMPUTED_VALUE"""),FALSE)</f>
        <v>0</v>
      </c>
      <c r="V130" s="27"/>
      <c r="W130" s="13" t="b">
        <f ca="1">IFERROR(__xludf.DUMMYFUNCTION("""COMPUTED_VALUE"""),FALSE)</f>
        <v>0</v>
      </c>
      <c r="X130" s="27"/>
      <c r="Y130" s="13" t="b">
        <f ca="1">IFERROR(__xludf.DUMMYFUNCTION("""COMPUTED_VALUE"""),TRUE)</f>
        <v>1</v>
      </c>
      <c r="Z130" s="27"/>
      <c r="AA130" s="34"/>
      <c r="AB130" s="34"/>
      <c r="AC130" s="34"/>
      <c r="AD130" s="2"/>
      <c r="AE130" s="2"/>
      <c r="AF130" s="2"/>
    </row>
    <row r="131" spans="1:32" ht="15.6">
      <c r="A131" s="26" t="str">
        <f ca="1">IFERROR(__xludf.DUMMYFUNCTION("""COMPUTED_VALUE"""),"放電下限控制器定期檢修")</f>
        <v>放電下限控制器定期檢修</v>
      </c>
      <c r="B131" s="28" t="str">
        <f ca="1">IFERROR(__xludf.DUMMYFUNCTION("""COMPUTED_VALUE"""),"放電下限控制器二年檢修1次")</f>
        <v>放電下限控制器二年檢修1次</v>
      </c>
      <c r="C131" s="29"/>
      <c r="D131" s="32">
        <f ca="1">IFERROR(__xludf.DUMMYFUNCTION("""COMPUTED_VALUE"""),8.2)</f>
        <v>8.1999999999999993</v>
      </c>
      <c r="E131" s="39">
        <f ca="1">IFERROR(__xludf.DUMMYFUNCTION("""COMPUTED_VALUE"""),0.3)</f>
        <v>0.3</v>
      </c>
      <c r="F131" s="34"/>
      <c r="G131" s="34"/>
      <c r="H131" s="6"/>
      <c r="I131" s="7" t="str">
        <f ca="1">IFERROR(__xludf.DUMMYFUNCTION("""COMPUTED_VALUE"""),"放電下限控制器一年檢修1次")</f>
        <v>放電下限控制器一年檢修1次</v>
      </c>
      <c r="J131" s="8">
        <f ca="1">IFERROR(__xludf.DUMMYFUNCTION("""COMPUTED_VALUE"""),8.5)</f>
        <v>8.5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34"/>
      <c r="AB131" s="34"/>
      <c r="AC131" s="34"/>
      <c r="AD131" s="2"/>
      <c r="AE131" s="2"/>
      <c r="AF131" s="2"/>
    </row>
    <row r="132" spans="1:32" ht="15.6">
      <c r="A132" s="34"/>
      <c r="B132" s="40"/>
      <c r="C132" s="41"/>
      <c r="D132" s="34"/>
      <c r="E132" s="34"/>
      <c r="F132" s="34"/>
      <c r="G132" s="34"/>
      <c r="H132" s="6"/>
      <c r="I132" s="7" t="str">
        <f ca="1">IFERROR(__xludf.DUMMYFUNCTION("""COMPUTED_VALUE"""),"放電下限控制器二年檢修1次")</f>
        <v>放電下限控制器二年檢修1次</v>
      </c>
      <c r="J132" s="8">
        <f ca="1">IFERROR(__xludf.DUMMYFUNCTION("""COMPUTED_VALUE"""),8.2)</f>
        <v>8.1999999999999993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34"/>
      <c r="AB132" s="34"/>
      <c r="AC132" s="34"/>
      <c r="AD132" s="2"/>
      <c r="AE132" s="2"/>
      <c r="AF132" s="2"/>
    </row>
    <row r="133" spans="1:32" ht="15.6">
      <c r="A133" s="27"/>
      <c r="B133" s="30"/>
      <c r="C133" s="31"/>
      <c r="D133" s="27"/>
      <c r="E133" s="27"/>
      <c r="F133" s="34"/>
      <c r="G133" s="34"/>
      <c r="H133" s="6"/>
      <c r="I133" s="7" t="str">
        <f ca="1">IFERROR(__xludf.DUMMYFUNCTION("""COMPUTED_VALUE"""),"放電下限控制器未定期檢修")</f>
        <v>放電下限控制器未定期檢修</v>
      </c>
      <c r="J133" s="8">
        <f ca="1">IFERROR(__xludf.DUMMYFUNCTION("""COMPUTED_VALUE"""),7.5)</f>
        <v>7.5</v>
      </c>
      <c r="K133" s="2"/>
      <c r="L133" s="9"/>
      <c r="M133" s="2"/>
      <c r="N133" s="9"/>
      <c r="O133" s="2"/>
      <c r="P133" s="9"/>
      <c r="Q133" s="2"/>
      <c r="R133" s="9"/>
      <c r="S133" s="2"/>
      <c r="T133" s="9"/>
      <c r="U133" s="2"/>
      <c r="V133" s="9"/>
      <c r="W133" s="2"/>
      <c r="X133" s="9"/>
      <c r="Y133" s="2"/>
      <c r="Z133" s="9"/>
      <c r="AA133" s="34"/>
      <c r="AB133" s="34"/>
      <c r="AC133" s="34"/>
      <c r="AD133" s="2"/>
      <c r="AE133" s="2"/>
      <c r="AF133" s="2"/>
    </row>
    <row r="134" spans="1:32" ht="15.6">
      <c r="A134" s="26" t="str">
        <f ca="1">IFERROR(__xludf.DUMMYFUNCTION("""COMPUTED_VALUE"""),"放電下限控制器有故障監視")</f>
        <v>放電下限控制器有故障監視</v>
      </c>
      <c r="B134" s="28" t="str">
        <f ca="1">IFERROR(__xludf.DUMMYFUNCTION("""COMPUTED_VALUE"""),"控制器具有故障監視功能")</f>
        <v>控制器具有故障監視功能</v>
      </c>
      <c r="C134" s="29"/>
      <c r="D134" s="32">
        <f ca="1">IFERROR(__xludf.DUMMYFUNCTION("""COMPUTED_VALUE"""),8.6)</f>
        <v>8.6</v>
      </c>
      <c r="E134" s="39">
        <f ca="1">IFERROR(__xludf.DUMMYFUNCTION("""COMPUTED_VALUE"""),0.3)</f>
        <v>0.3</v>
      </c>
      <c r="F134" s="34"/>
      <c r="G134" s="34"/>
      <c r="H134" s="6"/>
      <c r="I134" s="7" t="str">
        <f ca="1">IFERROR(__xludf.DUMMYFUNCTION("""COMPUTED_VALUE"""),"控制器具有故障監視功能")</f>
        <v>控制器具有故障監視功能</v>
      </c>
      <c r="J134" s="8">
        <f ca="1">IFERROR(__xludf.DUMMYFUNCTION("""COMPUTED_VALUE"""),8.6)</f>
        <v>8.6</v>
      </c>
      <c r="K134" s="2"/>
      <c r="L134" s="9"/>
      <c r="M134" s="2"/>
      <c r="N134" s="9"/>
      <c r="O134" s="2"/>
      <c r="P134" s="9"/>
      <c r="Q134" s="2"/>
      <c r="R134" s="9"/>
      <c r="S134" s="2"/>
      <c r="T134" s="9"/>
      <c r="U134" s="2"/>
      <c r="V134" s="9"/>
      <c r="W134" s="2"/>
      <c r="X134" s="9"/>
      <c r="Y134" s="2"/>
      <c r="Z134" s="9"/>
      <c r="AA134" s="34"/>
      <c r="AB134" s="34"/>
      <c r="AC134" s="34"/>
      <c r="AD134" s="2"/>
      <c r="AE134" s="2"/>
      <c r="AF134" s="2"/>
    </row>
    <row r="135" spans="1:32" ht="15.6">
      <c r="A135" s="27"/>
      <c r="B135" s="30"/>
      <c r="C135" s="31"/>
      <c r="D135" s="27"/>
      <c r="E135" s="27"/>
      <c r="F135" s="27"/>
      <c r="G135" s="27"/>
      <c r="H135" s="16"/>
      <c r="I135" s="7" t="str">
        <f ca="1">IFERROR(__xludf.DUMMYFUNCTION("""COMPUTED_VALUE"""),"控制器無故障監視功能")</f>
        <v>控制器無故障監視功能</v>
      </c>
      <c r="J135" s="8">
        <f ca="1">IFERROR(__xludf.DUMMYFUNCTION("""COMPUTED_VALUE"""),7.8)</f>
        <v>7.8</v>
      </c>
      <c r="K135" s="2"/>
      <c r="L135" s="9"/>
      <c r="M135" s="2"/>
      <c r="N135" s="9"/>
      <c r="O135" s="2"/>
      <c r="P135" s="9"/>
      <c r="Q135" s="2"/>
      <c r="R135" s="9"/>
      <c r="S135" s="2"/>
      <c r="T135" s="9"/>
      <c r="U135" s="2"/>
      <c r="V135" s="9"/>
      <c r="W135" s="2"/>
      <c r="X135" s="9"/>
      <c r="Y135" s="2"/>
      <c r="Z135" s="9"/>
      <c r="AA135" s="27"/>
      <c r="AB135" s="27"/>
      <c r="AC135" s="27"/>
      <c r="AD135" s="2"/>
      <c r="AE135" s="2"/>
      <c r="AF135" s="2"/>
    </row>
    <row r="136" spans="1:32" ht="15.6">
      <c r="A136" s="19" t="str">
        <f ca="1">IFERROR(__xludf.DUMMYFUNCTION("IMPORTRANGE(""https://docs.google.com/spreadsheets/d/1g3k-_bsDSgGx-LrtXVu_8pmZey8G_3GZEmdJXJYtcxo/edit?gid=695446954#gid=695446954"",""'F1-d2-1'!A1:AC9"")"),"過放電保護設定不當 F1-d2-1(t)")</f>
        <v>過放電保護設定不當 F1-d2-1(t)</v>
      </c>
      <c r="B136" s="20"/>
      <c r="C136" s="20"/>
      <c r="D136" s="20"/>
      <c r="E136" s="20"/>
      <c r="F136" s="20"/>
      <c r="G136" s="20"/>
      <c r="H136" s="1"/>
      <c r="I136" s="21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2"/>
      <c r="AA136" s="23"/>
      <c r="AB136" s="24"/>
      <c r="AC136" s="24"/>
      <c r="AD136" s="2"/>
      <c r="AE136" s="2"/>
      <c r="AF136" s="2"/>
    </row>
    <row r="137" spans="1:32" ht="46.8">
      <c r="A137" s="3" t="str">
        <f ca="1">IFERROR(__xludf.DUMMYFUNCTION("""COMPUTED_VALUE"""),"確保可靠度的手段")</f>
        <v>確保可靠度的手段</v>
      </c>
      <c r="B137" s="25" t="str">
        <f ca="1">IFERROR(__xludf.DUMMYFUNCTION("""COMPUTED_VALUE"""),"確證方式")</f>
        <v>確證方式</v>
      </c>
      <c r="C137" s="22"/>
      <c r="D137" s="3" t="str">
        <f ca="1">IFERROR(__xludf.DUMMYFUNCTION("""COMPUTED_VALUE"""),"得分")</f>
        <v>得分</v>
      </c>
      <c r="E137" s="3" t="str">
        <f ca="1">IFERROR(__xludf.DUMMYFUNCTION("""COMPUTED_VALUE"""),"權重")</f>
        <v>權重</v>
      </c>
      <c r="F137" s="3" t="str">
        <f ca="1">IFERROR(__xludf.DUMMYFUNCTION("""COMPUTED_VALUE"""),"可靠度概率")</f>
        <v>可靠度概率</v>
      </c>
      <c r="G137" s="3" t="str">
        <f ca="1">IFERROR(__xludf.DUMMYFUNCTION("""COMPUTED_VALUE"""),"F1-d2-1(t)")</f>
        <v>F1-d2-1(t)</v>
      </c>
      <c r="H137" s="4"/>
      <c r="I137" s="5" t="str">
        <f ca="1">IFERROR(__xludf.DUMMYFUNCTION("""COMPUTED_VALUE"""),"調查問項")</f>
        <v>調查問項</v>
      </c>
      <c r="J137" s="5" t="str">
        <f ca="1">IFERROR(__xludf.DUMMYFUNCTION("""COMPUTED_VALUE"""),"分項分數")</f>
        <v>分項分數</v>
      </c>
      <c r="K137" s="5" t="str">
        <f ca="1">IFERROR(__xludf.DUMMYFUNCTION("""COMPUTED_VALUE"""),"勾選組合")</f>
        <v>勾選組合</v>
      </c>
      <c r="L137" s="5" t="str">
        <f ca="1">IFERROR(__xludf.DUMMYFUNCTION("""COMPUTED_VALUE"""),"得分")</f>
        <v>得分</v>
      </c>
      <c r="M137" s="5" t="str">
        <f ca="1">IFERROR(__xludf.DUMMYFUNCTION("""COMPUTED_VALUE"""),"勾選組合")</f>
        <v>勾選組合</v>
      </c>
      <c r="N137" s="5" t="str">
        <f ca="1">IFERROR(__xludf.DUMMYFUNCTION("""COMPUTED_VALUE"""),"得分")</f>
        <v>得分</v>
      </c>
      <c r="O137" s="5" t="str">
        <f ca="1">IFERROR(__xludf.DUMMYFUNCTION("""COMPUTED_VALUE"""),"勾選組合")</f>
        <v>勾選組合</v>
      </c>
      <c r="P137" s="5" t="str">
        <f ca="1">IFERROR(__xludf.DUMMYFUNCTION("""COMPUTED_VALUE"""),"得分")</f>
        <v>得分</v>
      </c>
      <c r="Q137" s="5" t="str">
        <f ca="1">IFERROR(__xludf.DUMMYFUNCTION("""COMPUTED_VALUE"""),"勾選組合")</f>
        <v>勾選組合</v>
      </c>
      <c r="R137" s="5" t="str">
        <f ca="1">IFERROR(__xludf.DUMMYFUNCTION("""COMPUTED_VALUE"""),"得分")</f>
        <v>得分</v>
      </c>
      <c r="S137" s="5" t="str">
        <f ca="1">IFERROR(__xludf.DUMMYFUNCTION("""COMPUTED_VALUE"""),"勾選組合")</f>
        <v>勾選組合</v>
      </c>
      <c r="T137" s="5" t="str">
        <f ca="1">IFERROR(__xludf.DUMMYFUNCTION("""COMPUTED_VALUE"""),"得分")</f>
        <v>得分</v>
      </c>
      <c r="U137" s="5" t="str">
        <f ca="1">IFERROR(__xludf.DUMMYFUNCTION("""COMPUTED_VALUE"""),"勾選組合")</f>
        <v>勾選組合</v>
      </c>
      <c r="V137" s="5" t="str">
        <f ca="1">IFERROR(__xludf.DUMMYFUNCTION("""COMPUTED_VALUE"""),"得分")</f>
        <v>得分</v>
      </c>
      <c r="W137" s="5" t="str">
        <f ca="1">IFERROR(__xludf.DUMMYFUNCTION("""COMPUTED_VALUE"""),"勾選組合")</f>
        <v>勾選組合</v>
      </c>
      <c r="X137" s="5" t="str">
        <f ca="1">IFERROR(__xludf.DUMMYFUNCTION("""COMPUTED_VALUE"""),"得分")</f>
        <v>得分</v>
      </c>
      <c r="Y137" s="5" t="str">
        <f ca="1">IFERROR(__xludf.DUMMYFUNCTION("""COMPUTED_VALUE"""),"勾選組合")</f>
        <v>勾選組合</v>
      </c>
      <c r="Z137" s="5" t="str">
        <f ca="1">IFERROR(__xludf.DUMMYFUNCTION("""COMPUTED_VALUE"""),"得分")</f>
        <v>得分</v>
      </c>
      <c r="AA137" s="25" t="str">
        <f ca="1">IFERROR(__xludf.DUMMYFUNCTION("""COMPUTED_VALUE"""),"F1-d2-1(t)")</f>
        <v>F1-d2-1(t)</v>
      </c>
      <c r="AB137" s="20"/>
      <c r="AC137" s="22"/>
      <c r="AD137" s="2"/>
      <c r="AE137" s="2"/>
      <c r="AF137" s="2"/>
    </row>
    <row r="138" spans="1:32" ht="15.6">
      <c r="A138" s="26" t="str">
        <f ca="1">IFERROR(__xludf.DUMMYFUNCTION("""COMPUTED_VALUE"""),"符合規定的放電保護設定")</f>
        <v>符合規定的放電保護設定</v>
      </c>
      <c r="B138" s="28" t="str">
        <f ca="1">IFERROR(__xludf.DUMMYFUNCTION("""COMPUTED_VALUE"""),"經由第三方查核確認")</f>
        <v>經由第三方查核確認</v>
      </c>
      <c r="C138" s="29"/>
      <c r="D138" s="32">
        <f ca="1">IFERROR(__xludf.DUMMYFUNCTION("""COMPUTED_VALUE"""),8.4)</f>
        <v>8.4</v>
      </c>
      <c r="E138" s="39">
        <f ca="1">IFERROR(__xludf.DUMMYFUNCTION("""COMPUTED_VALUE"""),0.4)</f>
        <v>0.4</v>
      </c>
      <c r="F138" s="38">
        <f ca="1">IFERROR(__xludf.DUMMYFUNCTION("""COMPUTED_VALUE"""),0.858)</f>
        <v>0.85799999999999998</v>
      </c>
      <c r="G138" s="38">
        <f ca="1">IFERROR(__xludf.DUMMYFUNCTION("""COMPUTED_VALUE"""),0.142)</f>
        <v>0.14199999999999999</v>
      </c>
      <c r="H138" s="6"/>
      <c r="I138" s="7" t="str">
        <f ca="1">IFERROR(__xludf.DUMMYFUNCTION("""COMPUTED_VALUE"""),"經由第三方查核確認")</f>
        <v>經由第三方查核確認</v>
      </c>
      <c r="J138" s="8">
        <f ca="1">IFERROR(__xludf.DUMMYFUNCTION("""COMPUTED_VALUE"""),8.4)</f>
        <v>8.4</v>
      </c>
      <c r="K138" s="2"/>
      <c r="L138" s="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37">
        <f ca="1">IFERROR(__xludf.DUMMYFUNCTION("""COMPUTED_VALUE"""),0.1349)</f>
        <v>0.13489999999999999</v>
      </c>
      <c r="AB138" s="37">
        <f ca="1">IFERROR(__xludf.DUMMYFUNCTION("""COMPUTED_VALUE"""),0.142)</f>
        <v>0.14199999999999999</v>
      </c>
      <c r="AC138" s="37">
        <f ca="1">IFERROR(__xludf.DUMMYFUNCTION("""COMPUTED_VALUE"""),0.1491)</f>
        <v>0.14910000000000001</v>
      </c>
      <c r="AD138" s="2"/>
      <c r="AE138" s="2"/>
      <c r="AF138" s="2"/>
    </row>
    <row r="139" spans="1:32" ht="15.6">
      <c r="A139" s="27"/>
      <c r="B139" s="30"/>
      <c r="C139" s="31"/>
      <c r="D139" s="27"/>
      <c r="E139" s="27"/>
      <c r="F139" s="34"/>
      <c r="G139" s="34"/>
      <c r="H139" s="6"/>
      <c r="I139" s="7" t="str">
        <f ca="1">IFERROR(__xludf.DUMMYFUNCTION("""COMPUTED_VALUE"""),"未經由第三方查核確認")</f>
        <v>未經由第三方查核確認</v>
      </c>
      <c r="J139" s="8">
        <f ca="1">IFERROR(__xludf.DUMMYFUNCTION("""COMPUTED_VALUE"""),7.4)</f>
        <v>7.4</v>
      </c>
      <c r="K139" s="2"/>
      <c r="L139" s="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34"/>
      <c r="AB139" s="34"/>
      <c r="AC139" s="34"/>
      <c r="AD139" s="2"/>
      <c r="AE139" s="2"/>
      <c r="AF139" s="2"/>
    </row>
    <row r="140" spans="1:32" ht="62.4">
      <c r="A140" s="36" t="str">
        <f ca="1">IFERROR(__xludf.DUMMYFUNCTION("""COMPUTED_VALUE"""),"放電保護異常移報訊號")</f>
        <v>放電保護異常移報訊號</v>
      </c>
      <c r="B140" s="10" t="b">
        <f ca="1">IFERROR(__xludf.DUMMYFUNCTION("""COMPUTED_VALUE"""),FALSE)</f>
        <v>0</v>
      </c>
      <c r="C140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40" s="33">
        <f ca="1">IFERROR(__xludf.DUMMYFUNCTION("""COMPUTED_VALUE"""),8.9)</f>
        <v>8.9</v>
      </c>
      <c r="E140" s="35">
        <f ca="1">IFERROR(__xludf.DUMMYFUNCTION("""COMPUTED_VALUE"""),0.3)</f>
        <v>0.3</v>
      </c>
      <c r="F140" s="34"/>
      <c r="G140" s="34"/>
      <c r="H140" s="6"/>
      <c r="I140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40" s="12">
        <f ca="1">IFERROR(__xludf.DUMMYFUNCTION("""COMPUTED_VALUE"""),8.7)</f>
        <v>8.6999999999999993</v>
      </c>
      <c r="K140" s="13" t="b">
        <f ca="1">IFERROR(__xludf.DUMMYFUNCTION("""COMPUTED_VALUE"""),TRUE)</f>
        <v>1</v>
      </c>
      <c r="L140" s="33">
        <f ca="1">IFERROR(__xludf.DUMMYFUNCTION("""COMPUTED_VALUE"""),9.3)</f>
        <v>9.3000000000000007</v>
      </c>
      <c r="M140" s="13" t="b">
        <f ca="1">IFERROR(__xludf.DUMMYFUNCTION("""COMPUTED_VALUE"""),FALSE)</f>
        <v>0</v>
      </c>
      <c r="N140" s="33">
        <f ca="1">IFERROR(__xludf.DUMMYFUNCTION("""COMPUTED_VALUE"""),7.5)</f>
        <v>7.5</v>
      </c>
      <c r="O140" s="13" t="b">
        <f ca="1">IFERROR(__xludf.DUMMYFUNCTION("""COMPUTED_VALUE"""),TRUE)</f>
        <v>1</v>
      </c>
      <c r="P140" s="33">
        <f ca="1">IFERROR(__xludf.DUMMYFUNCTION("""COMPUTED_VALUE"""),8.9)</f>
        <v>8.9</v>
      </c>
      <c r="Q140" s="13" t="b">
        <f ca="1">IFERROR(__xludf.DUMMYFUNCTION("""COMPUTED_VALUE"""),FALSE)</f>
        <v>0</v>
      </c>
      <c r="R140" s="33">
        <f ca="1">IFERROR(__xludf.DUMMYFUNCTION("""COMPUTED_VALUE"""),8.9)</f>
        <v>8.9</v>
      </c>
      <c r="S140" s="13" t="b">
        <f ca="1">IFERROR(__xludf.DUMMYFUNCTION("""COMPUTED_VALUE"""),TRUE)</f>
        <v>1</v>
      </c>
      <c r="T140" s="33">
        <f ca="1">IFERROR(__xludf.DUMMYFUNCTION("""COMPUTED_VALUE"""),8.9)</f>
        <v>8.9</v>
      </c>
      <c r="U140" s="13" t="b">
        <f ca="1">IFERROR(__xludf.DUMMYFUNCTION("""COMPUTED_VALUE"""),TRUE)</f>
        <v>1</v>
      </c>
      <c r="V140" s="33">
        <f ca="1">IFERROR(__xludf.DUMMYFUNCTION("""COMPUTED_VALUE"""),8.7)</f>
        <v>8.6999999999999993</v>
      </c>
      <c r="W140" s="13" t="b">
        <f ca="1">IFERROR(__xludf.DUMMYFUNCTION("""COMPUTED_VALUE"""),FALSE)</f>
        <v>0</v>
      </c>
      <c r="X140" s="33">
        <f ca="1">IFERROR(__xludf.DUMMYFUNCTION("""COMPUTED_VALUE"""),8.3)</f>
        <v>8.3000000000000007</v>
      </c>
      <c r="Y140" s="13" t="b">
        <f ca="1">IFERROR(__xludf.DUMMYFUNCTION("""COMPUTED_VALUE"""),FALSE)</f>
        <v>0</v>
      </c>
      <c r="Z140" s="33">
        <f ca="1">IFERROR(__xludf.DUMMYFUNCTION("""COMPUTED_VALUE"""),8.3)</f>
        <v>8.3000000000000007</v>
      </c>
      <c r="AA140" s="34"/>
      <c r="AB140" s="34"/>
      <c r="AC140" s="34"/>
      <c r="AD140" s="2"/>
      <c r="AE140" s="2"/>
      <c r="AF140" s="2"/>
    </row>
    <row r="141" spans="1:32" ht="31.2">
      <c r="A141" s="34"/>
      <c r="B141" s="10" t="b">
        <f ca="1">IFERROR(__xludf.DUMMYFUNCTION("""COMPUTED_VALUE"""),TRUE)</f>
        <v>1</v>
      </c>
      <c r="C141" s="11" t="str">
        <f ca="1">IFERROR(__xludf.DUMMYFUNCTION("""COMPUTED_VALUE"""),"BMS通過Test Report - IEC 60730-1 - Annex H測試")</f>
        <v>BMS通過Test Report - IEC 60730-1 - Annex H測試</v>
      </c>
      <c r="D141" s="34"/>
      <c r="E141" s="34"/>
      <c r="F141" s="34"/>
      <c r="G141" s="34"/>
      <c r="H141" s="6"/>
      <c r="I141" s="11" t="str">
        <f ca="1">IFERROR(__xludf.DUMMYFUNCTION("""COMPUTED_VALUE"""),"BMS通過Test Report - IEC 60730-1 - Annex H測試")</f>
        <v>BMS通過Test Report - IEC 60730-1 - Annex H測試</v>
      </c>
      <c r="J141" s="12">
        <f ca="1">IFERROR(__xludf.DUMMYFUNCTION("""COMPUTED_VALUE"""),8.3)</f>
        <v>8.3000000000000007</v>
      </c>
      <c r="K141" s="14" t="b">
        <f ca="1">IFERROR(__xludf.DUMMYFUNCTION("""COMPUTED_VALUE"""),TRUE)</f>
        <v>1</v>
      </c>
      <c r="L141" s="34"/>
      <c r="M141" s="14" t="b">
        <f ca="1">IFERROR(__xludf.DUMMYFUNCTION("""COMPUTED_VALUE"""),FALSE)</f>
        <v>0</v>
      </c>
      <c r="N141" s="34"/>
      <c r="O141" s="14" t="b">
        <f ca="1">IFERROR(__xludf.DUMMYFUNCTION("""COMPUTED_VALUE"""),TRUE)</f>
        <v>1</v>
      </c>
      <c r="P141" s="34"/>
      <c r="Q141" s="14" t="b">
        <f ca="1">IFERROR(__xludf.DUMMYFUNCTION("""COMPUTED_VALUE"""),TRUE)</f>
        <v>1</v>
      </c>
      <c r="R141" s="34"/>
      <c r="S141" s="14" t="b">
        <f ca="1">IFERROR(__xludf.DUMMYFUNCTION("""COMPUTED_VALUE"""),FALSE)</f>
        <v>0</v>
      </c>
      <c r="T141" s="34"/>
      <c r="U141" s="14" t="b">
        <f ca="1">IFERROR(__xludf.DUMMYFUNCTION("""COMPUTED_VALUE"""),FALSE)</f>
        <v>0</v>
      </c>
      <c r="V141" s="34"/>
      <c r="W141" s="14" t="b">
        <f ca="1">IFERROR(__xludf.DUMMYFUNCTION("""COMPUTED_VALUE"""),TRUE)</f>
        <v>1</v>
      </c>
      <c r="X141" s="34"/>
      <c r="Y141" s="14" t="b">
        <f ca="1">IFERROR(__xludf.DUMMYFUNCTION("""COMPUTED_VALUE"""),FALSE)</f>
        <v>0</v>
      </c>
      <c r="Z141" s="34"/>
      <c r="AA141" s="34"/>
      <c r="AB141" s="34"/>
      <c r="AC141" s="34"/>
      <c r="AD141" s="2"/>
      <c r="AE141" s="2"/>
      <c r="AF141" s="2"/>
    </row>
    <row r="142" spans="1:32" ht="31.2">
      <c r="A142" s="27"/>
      <c r="B142" s="10" t="b">
        <f ca="1">IFERROR(__xludf.DUMMYFUNCTION("""COMPUTED_VALUE"""),TRUE)</f>
        <v>1</v>
      </c>
      <c r="C142" s="11" t="str">
        <f ca="1">IFERROR(__xludf.DUMMYFUNCTION("""COMPUTED_VALUE"""),"異常訊號可同時通知現場及遠端管理人員")</f>
        <v>異常訊號可同時通知現場及遠端管理人員</v>
      </c>
      <c r="D142" s="27"/>
      <c r="E142" s="27"/>
      <c r="F142" s="34"/>
      <c r="G142" s="34"/>
      <c r="H142" s="6"/>
      <c r="I142" s="11" t="str">
        <f ca="1">IFERROR(__xludf.DUMMYFUNCTION("""COMPUTED_VALUE"""),"異常訊號可同時通知現場及遠端管理人員")</f>
        <v>異常訊號可同時通知現場及遠端管理人員</v>
      </c>
      <c r="J142" s="12">
        <f ca="1">IFERROR(__xludf.DUMMYFUNCTION("""COMPUTED_VALUE"""),8.3)</f>
        <v>8.3000000000000007</v>
      </c>
      <c r="K142" s="13" t="b">
        <f ca="1">IFERROR(__xludf.DUMMYFUNCTION("""COMPUTED_VALUE"""),TRUE)</f>
        <v>1</v>
      </c>
      <c r="L142" s="27"/>
      <c r="M142" s="13" t="b">
        <f ca="1">IFERROR(__xludf.DUMMYFUNCTION("""COMPUTED_VALUE"""),FALSE)</f>
        <v>0</v>
      </c>
      <c r="N142" s="27"/>
      <c r="O142" s="13" t="b">
        <f ca="1">IFERROR(__xludf.DUMMYFUNCTION("""COMPUTED_VALUE"""),FALSE)</f>
        <v>0</v>
      </c>
      <c r="P142" s="27"/>
      <c r="Q142" s="13" t="b">
        <f ca="1">IFERROR(__xludf.DUMMYFUNCTION("""COMPUTED_VALUE"""),TRUE)</f>
        <v>1</v>
      </c>
      <c r="R142" s="27"/>
      <c r="S142" s="13" t="b">
        <f ca="1">IFERROR(__xludf.DUMMYFUNCTION("""COMPUTED_VALUE"""),TRUE)</f>
        <v>1</v>
      </c>
      <c r="T142" s="27"/>
      <c r="U142" s="13" t="b">
        <f ca="1">IFERROR(__xludf.DUMMYFUNCTION("""COMPUTED_VALUE"""),FALSE)</f>
        <v>0</v>
      </c>
      <c r="V142" s="27"/>
      <c r="W142" s="13" t="b">
        <f ca="1">IFERROR(__xludf.DUMMYFUNCTION("""COMPUTED_VALUE"""),FALSE)</f>
        <v>0</v>
      </c>
      <c r="X142" s="27"/>
      <c r="Y142" s="13" t="b">
        <f ca="1">IFERROR(__xludf.DUMMYFUNCTION("""COMPUTED_VALUE"""),TRUE)</f>
        <v>1</v>
      </c>
      <c r="Z142" s="27"/>
      <c r="AA142" s="34"/>
      <c r="AB142" s="34"/>
      <c r="AC142" s="34"/>
      <c r="AD142" s="2"/>
      <c r="AE142" s="2"/>
      <c r="AF142" s="2"/>
    </row>
    <row r="143" spans="1:32" ht="15.6">
      <c r="A143" s="26" t="str">
        <f ca="1">IFERROR(__xludf.DUMMYFUNCTION("""COMPUTED_VALUE"""),"放電保護作動的歷史紀錄")</f>
        <v>放電保護作動的歷史紀錄</v>
      </c>
      <c r="B143" s="28" t="str">
        <f ca="1">IFERROR(__xludf.DUMMYFUNCTION("""COMPUTED_VALUE"""),"歷史紀錄保存完整")</f>
        <v>歷史紀錄保存完整</v>
      </c>
      <c r="C143" s="29"/>
      <c r="D143" s="32">
        <f ca="1">IFERROR(__xludf.DUMMYFUNCTION("""COMPUTED_VALUE"""),8.5)</f>
        <v>8.5</v>
      </c>
      <c r="E143" s="39">
        <f ca="1">IFERROR(__xludf.DUMMYFUNCTION("""COMPUTED_VALUE"""),0.3)</f>
        <v>0.3</v>
      </c>
      <c r="F143" s="34"/>
      <c r="G143" s="34"/>
      <c r="H143" s="6"/>
      <c r="I143" s="7" t="str">
        <f ca="1">IFERROR(__xludf.DUMMYFUNCTION("""COMPUTED_VALUE"""),"歷史紀錄保存完整")</f>
        <v>歷史紀錄保存完整</v>
      </c>
      <c r="J143" s="8">
        <f ca="1">IFERROR(__xludf.DUMMYFUNCTION("""COMPUTED_VALUE"""),8.5)</f>
        <v>8.5</v>
      </c>
      <c r="K143" s="2"/>
      <c r="L143" s="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34"/>
      <c r="AB143" s="34"/>
      <c r="AC143" s="34"/>
      <c r="AD143" s="2"/>
      <c r="AE143" s="2"/>
      <c r="AF143" s="2"/>
    </row>
    <row r="144" spans="1:32" ht="15.6">
      <c r="A144" s="27"/>
      <c r="B144" s="30"/>
      <c r="C144" s="31"/>
      <c r="D144" s="27"/>
      <c r="E144" s="27"/>
      <c r="F144" s="27"/>
      <c r="G144" s="27"/>
      <c r="H144" s="6"/>
      <c r="I144" s="7" t="str">
        <f ca="1">IFERROR(__xludf.DUMMYFUNCTION("""COMPUTED_VALUE"""),"歷史紀錄未保存完整")</f>
        <v>歷史紀錄未保存完整</v>
      </c>
      <c r="J144" s="8">
        <f ca="1">IFERROR(__xludf.DUMMYFUNCTION("""COMPUTED_VALUE"""),7.8)</f>
        <v>7.8</v>
      </c>
      <c r="K144" s="2"/>
      <c r="L144" s="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7"/>
      <c r="AB144" s="27"/>
      <c r="AC144" s="27"/>
      <c r="AD144" s="2"/>
      <c r="AE144" s="2"/>
      <c r="AF144" s="2"/>
    </row>
    <row r="145" spans="1:32" ht="15.6">
      <c r="A145" s="19" t="str">
        <f ca="1">IFERROR(__xludf.DUMMYFUNCTION("IMPORTRANGE(""https://docs.google.com/spreadsheets/d/1g3k-_bsDSgGx-LrtXVu_8pmZey8G_3GZEmdJXJYtcxo/edit?gid=478205295#gid=478205295"",""'F1-d2-2'!A1:AC8"")"),"過放電保護裝置故障 F1-d2-2(t)")</f>
        <v>過放電保護裝置故障 F1-d2-2(t)</v>
      </c>
      <c r="B145" s="20"/>
      <c r="C145" s="20"/>
      <c r="D145" s="20"/>
      <c r="E145" s="20"/>
      <c r="F145" s="20"/>
      <c r="G145" s="20"/>
      <c r="H145" s="1"/>
      <c r="I145" s="21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2"/>
      <c r="AA145" s="23"/>
      <c r="AB145" s="24"/>
      <c r="AC145" s="24"/>
      <c r="AD145" s="2"/>
      <c r="AE145" s="2"/>
      <c r="AF145" s="2"/>
    </row>
    <row r="146" spans="1:32" ht="46.8">
      <c r="A146" s="3" t="str">
        <f ca="1">IFERROR(__xludf.DUMMYFUNCTION("""COMPUTED_VALUE"""),"確保可靠度的手段")</f>
        <v>確保可靠度的手段</v>
      </c>
      <c r="B146" s="25" t="str">
        <f ca="1">IFERROR(__xludf.DUMMYFUNCTION("""COMPUTED_VALUE"""),"確證方式")</f>
        <v>確證方式</v>
      </c>
      <c r="C146" s="22"/>
      <c r="D146" s="3" t="str">
        <f ca="1">IFERROR(__xludf.DUMMYFUNCTION("""COMPUTED_VALUE"""),"得分")</f>
        <v>得分</v>
      </c>
      <c r="E146" s="3" t="str">
        <f ca="1">IFERROR(__xludf.DUMMYFUNCTION("""COMPUTED_VALUE"""),"權重")</f>
        <v>權重</v>
      </c>
      <c r="F146" s="3" t="str">
        <f ca="1">IFERROR(__xludf.DUMMYFUNCTION("""COMPUTED_VALUE"""),"可靠度
 概率")</f>
        <v>可靠度
 概率</v>
      </c>
      <c r="G146" s="3" t="str">
        <f ca="1">IFERROR(__xludf.DUMMYFUNCTION("""COMPUTED_VALUE"""),"F1-d2-2(t)")</f>
        <v>F1-d2-2(t)</v>
      </c>
      <c r="H146" s="4"/>
      <c r="I146" s="5" t="str">
        <f ca="1">IFERROR(__xludf.DUMMYFUNCTION("""COMPUTED_VALUE"""),"調查問項")</f>
        <v>調查問項</v>
      </c>
      <c r="J146" s="5" t="str">
        <f ca="1">IFERROR(__xludf.DUMMYFUNCTION("""COMPUTED_VALUE"""),"分項分數")</f>
        <v>分項分數</v>
      </c>
      <c r="K146" s="5" t="str">
        <f ca="1">IFERROR(__xludf.DUMMYFUNCTION("""COMPUTED_VALUE"""),"勾選組合")</f>
        <v>勾選組合</v>
      </c>
      <c r="L146" s="5" t="str">
        <f ca="1">IFERROR(__xludf.DUMMYFUNCTION("""COMPUTED_VALUE"""),"得分")</f>
        <v>得分</v>
      </c>
      <c r="M146" s="5" t="str">
        <f ca="1">IFERROR(__xludf.DUMMYFUNCTION("""COMPUTED_VALUE"""),"勾選組合")</f>
        <v>勾選組合</v>
      </c>
      <c r="N146" s="5" t="str">
        <f ca="1">IFERROR(__xludf.DUMMYFUNCTION("""COMPUTED_VALUE"""),"得分")</f>
        <v>得分</v>
      </c>
      <c r="O146" s="5" t="str">
        <f ca="1">IFERROR(__xludf.DUMMYFUNCTION("""COMPUTED_VALUE"""),"勾選組合")</f>
        <v>勾選組合</v>
      </c>
      <c r="P146" s="5" t="str">
        <f ca="1">IFERROR(__xludf.DUMMYFUNCTION("""COMPUTED_VALUE"""),"得分")</f>
        <v>得分</v>
      </c>
      <c r="Q146" s="5" t="str">
        <f ca="1">IFERROR(__xludf.DUMMYFUNCTION("""COMPUTED_VALUE"""),"勾選組合")</f>
        <v>勾選組合</v>
      </c>
      <c r="R146" s="5" t="str">
        <f ca="1">IFERROR(__xludf.DUMMYFUNCTION("""COMPUTED_VALUE"""),"得分")</f>
        <v>得分</v>
      </c>
      <c r="S146" s="5" t="str">
        <f ca="1">IFERROR(__xludf.DUMMYFUNCTION("""COMPUTED_VALUE"""),"勾選組合")</f>
        <v>勾選組合</v>
      </c>
      <c r="T146" s="5" t="str">
        <f ca="1">IFERROR(__xludf.DUMMYFUNCTION("""COMPUTED_VALUE"""),"得分")</f>
        <v>得分</v>
      </c>
      <c r="U146" s="5" t="str">
        <f ca="1">IFERROR(__xludf.DUMMYFUNCTION("""COMPUTED_VALUE"""),"勾選組合")</f>
        <v>勾選組合</v>
      </c>
      <c r="V146" s="5" t="str">
        <f ca="1">IFERROR(__xludf.DUMMYFUNCTION("""COMPUTED_VALUE"""),"得分")</f>
        <v>得分</v>
      </c>
      <c r="W146" s="5" t="str">
        <f ca="1">IFERROR(__xludf.DUMMYFUNCTION("""COMPUTED_VALUE"""),"勾選組合")</f>
        <v>勾選組合</v>
      </c>
      <c r="X146" s="5" t="str">
        <f ca="1">IFERROR(__xludf.DUMMYFUNCTION("""COMPUTED_VALUE"""),"得分")</f>
        <v>得分</v>
      </c>
      <c r="Y146" s="5" t="str">
        <f ca="1">IFERROR(__xludf.DUMMYFUNCTION("""COMPUTED_VALUE"""),"勾選組合")</f>
        <v>勾選組合</v>
      </c>
      <c r="Z146" s="5" t="str">
        <f ca="1">IFERROR(__xludf.DUMMYFUNCTION("""COMPUTED_VALUE"""),"得分")</f>
        <v>得分</v>
      </c>
      <c r="AA146" s="25" t="str">
        <f ca="1">IFERROR(__xludf.DUMMYFUNCTION("""COMPUTED_VALUE"""),"F1-d2-2(t)")</f>
        <v>F1-d2-2(t)</v>
      </c>
      <c r="AB146" s="20"/>
      <c r="AC146" s="22"/>
      <c r="AD146" s="2"/>
      <c r="AE146" s="2"/>
      <c r="AF146" s="2"/>
    </row>
    <row r="147" spans="1:32" ht="15.6">
      <c r="A147" s="36" t="str">
        <f ca="1">IFERROR(__xludf.DUMMYFUNCTION("""COMPUTED_VALUE"""),"過放電保護裝置通過認證")</f>
        <v>過放電保護裝置通過認證</v>
      </c>
      <c r="B147" s="10" t="b">
        <f ca="1">IFERROR(__xludf.DUMMYFUNCTION("""COMPUTED_VALUE"""),TRUE)</f>
        <v>1</v>
      </c>
      <c r="C147" s="11" t="str">
        <f ca="1">IFERROR(__xludf.DUMMYFUNCTION("""COMPUTED_VALUE"""),"取得 UL 1973 認證證書")</f>
        <v>取得 UL 1973 認證證書</v>
      </c>
      <c r="D147" s="33">
        <f ca="1">IFERROR(__xludf.DUMMYFUNCTION("""COMPUTED_VALUE"""),9.2)</f>
        <v>9.1999999999999993</v>
      </c>
      <c r="E147" s="35">
        <f ca="1">IFERROR(__xludf.DUMMYFUNCTION("""COMPUTED_VALUE"""),0.6)</f>
        <v>0.6</v>
      </c>
      <c r="F147" s="38">
        <f ca="1">IFERROR(__xludf.DUMMYFUNCTION("""COMPUTED_VALUE"""),0.879999999999999)</f>
        <v>0.87999999999999901</v>
      </c>
      <c r="G147" s="38">
        <f ca="1">IFERROR(__xludf.DUMMYFUNCTION("""COMPUTED_VALUE"""),0.12)</f>
        <v>0.12</v>
      </c>
      <c r="H147" s="6"/>
      <c r="I147" s="11" t="str">
        <f ca="1">IFERROR(__xludf.DUMMYFUNCTION("""COMPUTED_VALUE"""),"取得 UL 1973 認證證書")</f>
        <v>取得 UL 1973 認證證書</v>
      </c>
      <c r="J147" s="12">
        <f ca="1">IFERROR(__xludf.DUMMYFUNCTION("""COMPUTED_VALUE"""),8.6)</f>
        <v>8.6</v>
      </c>
      <c r="K147" s="13" t="b">
        <f ca="1">IFERROR(__xludf.DUMMYFUNCTION("""COMPUTED_VALUE"""),TRUE)</f>
        <v>1</v>
      </c>
      <c r="L147" s="33">
        <f ca="1">IFERROR(__xludf.DUMMYFUNCTION("""COMPUTED_VALUE"""),9.2)</f>
        <v>9.1999999999999993</v>
      </c>
      <c r="M147" s="13" t="b">
        <f ca="1">IFERROR(__xludf.DUMMYFUNCTION("""COMPUTED_VALUE"""),FALSE)</f>
        <v>0</v>
      </c>
      <c r="N147" s="33">
        <f ca="1">IFERROR(__xludf.DUMMYFUNCTION("""COMPUTED_VALUE"""),7.8)</f>
        <v>7.8</v>
      </c>
      <c r="O147" s="13" t="b">
        <f ca="1">IFERROR(__xludf.DUMMYFUNCTION("""COMPUTED_VALUE"""),TRUE)</f>
        <v>1</v>
      </c>
      <c r="P147" s="33">
        <f ca="1">IFERROR(__xludf.DUMMYFUNCTION("""COMPUTED_VALUE"""),9)</f>
        <v>9</v>
      </c>
      <c r="Q147" s="13" t="b">
        <f ca="1">IFERROR(__xludf.DUMMYFUNCTION("""COMPUTED_VALUE"""),FALSE)</f>
        <v>0</v>
      </c>
      <c r="R147" s="33">
        <f ca="1">IFERROR(__xludf.DUMMYFUNCTION("""COMPUTED_VALUE"""),9)</f>
        <v>9</v>
      </c>
      <c r="S147" s="13" t="b">
        <f ca="1">IFERROR(__xludf.DUMMYFUNCTION("""COMPUTED_VALUE"""),TRUE)</f>
        <v>1</v>
      </c>
      <c r="T147" s="33">
        <f ca="1">IFERROR(__xludf.DUMMYFUNCTION("""COMPUTED_VALUE"""),9)</f>
        <v>9</v>
      </c>
      <c r="U147" s="13" t="b">
        <f ca="1">IFERROR(__xludf.DUMMYFUNCTION("""COMPUTED_VALUE"""),TRUE)</f>
        <v>1</v>
      </c>
      <c r="V147" s="33">
        <f ca="1">IFERROR(__xludf.DUMMYFUNCTION("""COMPUTED_VALUE"""),8.6)</f>
        <v>8.6</v>
      </c>
      <c r="W147" s="13" t="b">
        <f ca="1">IFERROR(__xludf.DUMMYFUNCTION("""COMPUTED_VALUE"""),FALSE)</f>
        <v>0</v>
      </c>
      <c r="X147" s="33">
        <f ca="1">IFERROR(__xludf.DUMMYFUNCTION("""COMPUTED_VALUE"""),8.6)</f>
        <v>8.6</v>
      </c>
      <c r="Y147" s="13" t="b">
        <f ca="1">IFERROR(__xludf.DUMMYFUNCTION("""COMPUTED_VALUE"""),FALSE)</f>
        <v>0</v>
      </c>
      <c r="Z147" s="33">
        <f ca="1">IFERROR(__xludf.DUMMYFUNCTION("""COMPUTED_VALUE"""),8.5)</f>
        <v>8.5</v>
      </c>
      <c r="AA147" s="37">
        <f ca="1">IFERROR(__xludf.DUMMYFUNCTION("""COMPUTED_VALUE"""),0.114)</f>
        <v>0.114</v>
      </c>
      <c r="AB147" s="37">
        <f ca="1">IFERROR(__xludf.DUMMYFUNCTION("""COMPUTED_VALUE"""),0.12)</f>
        <v>0.12</v>
      </c>
      <c r="AC147" s="37">
        <f ca="1">IFERROR(__xludf.DUMMYFUNCTION("""COMPUTED_VALUE"""),0.126)</f>
        <v>0.126</v>
      </c>
      <c r="AD147" s="2"/>
      <c r="AE147" s="2"/>
      <c r="AF147" s="2"/>
    </row>
    <row r="148" spans="1:32" ht="15.6">
      <c r="A148" s="34"/>
      <c r="B148" s="10" t="b">
        <f ca="1">IFERROR(__xludf.DUMMYFUNCTION("""COMPUTED_VALUE"""),TRUE)</f>
        <v>1</v>
      </c>
      <c r="C148" s="11" t="str">
        <f ca="1">IFERROR(__xludf.DUMMYFUNCTION("""COMPUTED_VALUE"""),"取得 CNS 62619 認證證書")</f>
        <v>取得 CNS 62619 認證證書</v>
      </c>
      <c r="D148" s="34"/>
      <c r="E148" s="34"/>
      <c r="F148" s="34"/>
      <c r="G148" s="34"/>
      <c r="H148" s="6"/>
      <c r="I148" s="11" t="str">
        <f ca="1">IFERROR(__xludf.DUMMYFUNCTION("""COMPUTED_VALUE"""),"取得 CNS 62619 認證證書")</f>
        <v>取得 CNS 62619 認證證書</v>
      </c>
      <c r="J148" s="12">
        <f ca="1">IFERROR(__xludf.DUMMYFUNCTION("""COMPUTED_VALUE"""),8.6)</f>
        <v>8.6</v>
      </c>
      <c r="K148" s="14" t="b">
        <f ca="1">IFERROR(__xludf.DUMMYFUNCTION("""COMPUTED_VALUE"""),TRUE)</f>
        <v>1</v>
      </c>
      <c r="L148" s="34"/>
      <c r="M148" s="14" t="b">
        <f ca="1">IFERROR(__xludf.DUMMYFUNCTION("""COMPUTED_VALUE"""),FALSE)</f>
        <v>0</v>
      </c>
      <c r="N148" s="34"/>
      <c r="O148" s="14" t="b">
        <f ca="1">IFERROR(__xludf.DUMMYFUNCTION("""COMPUTED_VALUE"""),TRUE)</f>
        <v>1</v>
      </c>
      <c r="P148" s="34"/>
      <c r="Q148" s="14" t="b">
        <f ca="1">IFERROR(__xludf.DUMMYFUNCTION("""COMPUTED_VALUE"""),TRUE)</f>
        <v>1</v>
      </c>
      <c r="R148" s="34"/>
      <c r="S148" s="14" t="b">
        <f ca="1">IFERROR(__xludf.DUMMYFUNCTION("""COMPUTED_VALUE"""),FALSE)</f>
        <v>0</v>
      </c>
      <c r="T148" s="34"/>
      <c r="U148" s="14" t="b">
        <f ca="1">IFERROR(__xludf.DUMMYFUNCTION("""COMPUTED_VALUE"""),FALSE)</f>
        <v>0</v>
      </c>
      <c r="V148" s="34"/>
      <c r="W148" s="14" t="b">
        <f ca="1">IFERROR(__xludf.DUMMYFUNCTION("""COMPUTED_VALUE"""),TRUE)</f>
        <v>1</v>
      </c>
      <c r="X148" s="34"/>
      <c r="Y148" s="14" t="b">
        <f ca="1">IFERROR(__xludf.DUMMYFUNCTION("""COMPUTED_VALUE"""),FALSE)</f>
        <v>0</v>
      </c>
      <c r="Z148" s="34"/>
      <c r="AA148" s="34"/>
      <c r="AB148" s="34"/>
      <c r="AC148" s="34"/>
      <c r="AD148" s="2"/>
      <c r="AE148" s="2"/>
      <c r="AF148" s="2"/>
    </row>
    <row r="149" spans="1:32" ht="15.6">
      <c r="A149" s="27"/>
      <c r="B149" s="10" t="b">
        <f ca="1">IFERROR(__xludf.DUMMYFUNCTION("""COMPUTED_VALUE"""),TRUE)</f>
        <v>1</v>
      </c>
      <c r="C149" s="11" t="str">
        <f ca="1">IFERROR(__xludf.DUMMYFUNCTION("""COMPUTED_VALUE"""),"符合 IEC 60730 之測試報告")</f>
        <v>符合 IEC 60730 之測試報告</v>
      </c>
      <c r="D149" s="27"/>
      <c r="E149" s="27"/>
      <c r="F149" s="34"/>
      <c r="G149" s="34"/>
      <c r="H149" s="6"/>
      <c r="I149" s="11" t="str">
        <f ca="1">IFERROR(__xludf.DUMMYFUNCTION("""COMPUTED_VALUE"""),"符合 IEC 60730 之測試報告")</f>
        <v>符合 IEC 60730 之測試報告</v>
      </c>
      <c r="J149" s="12">
        <f ca="1">IFERROR(__xludf.DUMMYFUNCTION("""COMPUTED_VALUE"""),8.5)</f>
        <v>8.5</v>
      </c>
      <c r="K149" s="13" t="b">
        <f ca="1">IFERROR(__xludf.DUMMYFUNCTION("""COMPUTED_VALUE"""),TRUE)</f>
        <v>1</v>
      </c>
      <c r="L149" s="27"/>
      <c r="M149" s="13" t="b">
        <f ca="1">IFERROR(__xludf.DUMMYFUNCTION("""COMPUTED_VALUE"""),FALSE)</f>
        <v>0</v>
      </c>
      <c r="N149" s="27"/>
      <c r="O149" s="13" t="b">
        <f ca="1">IFERROR(__xludf.DUMMYFUNCTION("""COMPUTED_VALUE"""),FALSE)</f>
        <v>0</v>
      </c>
      <c r="P149" s="27"/>
      <c r="Q149" s="13" t="b">
        <f ca="1">IFERROR(__xludf.DUMMYFUNCTION("""COMPUTED_VALUE"""),TRUE)</f>
        <v>1</v>
      </c>
      <c r="R149" s="27"/>
      <c r="S149" s="13" t="b">
        <f ca="1">IFERROR(__xludf.DUMMYFUNCTION("""COMPUTED_VALUE"""),TRUE)</f>
        <v>1</v>
      </c>
      <c r="T149" s="27"/>
      <c r="U149" s="13" t="b">
        <f ca="1">IFERROR(__xludf.DUMMYFUNCTION("""COMPUTED_VALUE"""),FALSE)</f>
        <v>0</v>
      </c>
      <c r="V149" s="27"/>
      <c r="W149" s="13" t="b">
        <f ca="1">IFERROR(__xludf.DUMMYFUNCTION("""COMPUTED_VALUE"""),FALSE)</f>
        <v>0</v>
      </c>
      <c r="X149" s="27"/>
      <c r="Y149" s="13" t="b">
        <f ca="1">IFERROR(__xludf.DUMMYFUNCTION("""COMPUTED_VALUE"""),TRUE)</f>
        <v>1</v>
      </c>
      <c r="Z149" s="27"/>
      <c r="AA149" s="34"/>
      <c r="AB149" s="34"/>
      <c r="AC149" s="34"/>
      <c r="AD149" s="2"/>
      <c r="AE149" s="2"/>
      <c r="AF149" s="2"/>
    </row>
    <row r="150" spans="1:32" ht="15.6">
      <c r="A150" s="26" t="str">
        <f ca="1">IFERROR(__xludf.DUMMYFUNCTION("""COMPUTED_VALUE"""),"過放電保護裝置定期檢修")</f>
        <v>過放電保護裝置定期檢修</v>
      </c>
      <c r="B150" s="28" t="str">
        <f ca="1">IFERROR(__xludf.DUMMYFUNCTION("""COMPUTED_VALUE"""),"過放電保護裝置二年檢修1次")</f>
        <v>過放電保護裝置二年檢修1次</v>
      </c>
      <c r="C150" s="29"/>
      <c r="D150" s="32">
        <f ca="1">IFERROR(__xludf.DUMMYFUNCTION("""COMPUTED_VALUE"""),8.2)</f>
        <v>8.1999999999999993</v>
      </c>
      <c r="E150" s="39">
        <f ca="1">IFERROR(__xludf.DUMMYFUNCTION("""COMPUTED_VALUE"""),0.4)</f>
        <v>0.4</v>
      </c>
      <c r="F150" s="34"/>
      <c r="G150" s="34"/>
      <c r="H150" s="6"/>
      <c r="I150" s="7" t="str">
        <f ca="1">IFERROR(__xludf.DUMMYFUNCTION("""COMPUTED_VALUE"""),"過放電保護裝置一年檢修1次")</f>
        <v>過放電保護裝置一年檢修1次</v>
      </c>
      <c r="J150" s="8">
        <f ca="1">IFERROR(__xludf.DUMMYFUNCTION("""COMPUTED_VALUE"""),8.5)</f>
        <v>8.5</v>
      </c>
      <c r="K150" s="2"/>
      <c r="L150" s="9"/>
      <c r="M150" s="2"/>
      <c r="N150" s="9"/>
      <c r="O150" s="2"/>
      <c r="P150" s="9"/>
      <c r="Q150" s="2"/>
      <c r="R150" s="9"/>
      <c r="S150" s="2"/>
      <c r="T150" s="9"/>
      <c r="U150" s="2"/>
      <c r="V150" s="9"/>
      <c r="W150" s="2"/>
      <c r="X150" s="9"/>
      <c r="Y150" s="2"/>
      <c r="Z150" s="9"/>
      <c r="AA150" s="34"/>
      <c r="AB150" s="34"/>
      <c r="AC150" s="34"/>
      <c r="AD150" s="2"/>
      <c r="AE150" s="2"/>
      <c r="AF150" s="2"/>
    </row>
    <row r="151" spans="1:32" ht="15.6">
      <c r="A151" s="34"/>
      <c r="B151" s="40"/>
      <c r="C151" s="41"/>
      <c r="D151" s="34"/>
      <c r="E151" s="34"/>
      <c r="F151" s="34"/>
      <c r="G151" s="34"/>
      <c r="H151" s="6"/>
      <c r="I151" s="7" t="str">
        <f ca="1">IFERROR(__xludf.DUMMYFUNCTION("""COMPUTED_VALUE"""),"過放電保護裝置二年檢修1次")</f>
        <v>過放電保護裝置二年檢修1次</v>
      </c>
      <c r="J151" s="8">
        <f ca="1">IFERROR(__xludf.DUMMYFUNCTION("""COMPUTED_VALUE"""),8.2)</f>
        <v>8.1999999999999993</v>
      </c>
      <c r="K151" s="2"/>
      <c r="L151" s="9"/>
      <c r="M151" s="2"/>
      <c r="N151" s="9"/>
      <c r="O151" s="2"/>
      <c r="P151" s="9"/>
      <c r="Q151" s="2"/>
      <c r="R151" s="9"/>
      <c r="S151" s="2"/>
      <c r="T151" s="9"/>
      <c r="U151" s="2"/>
      <c r="V151" s="9"/>
      <c r="W151" s="2"/>
      <c r="X151" s="9"/>
      <c r="Y151" s="2"/>
      <c r="Z151" s="9"/>
      <c r="AA151" s="34"/>
      <c r="AB151" s="34"/>
      <c r="AC151" s="34"/>
      <c r="AD151" s="2"/>
      <c r="AE151" s="2"/>
      <c r="AF151" s="2"/>
    </row>
    <row r="152" spans="1:32" ht="15.6">
      <c r="A152" s="27"/>
      <c r="B152" s="30"/>
      <c r="C152" s="31"/>
      <c r="D152" s="27"/>
      <c r="E152" s="27"/>
      <c r="F152" s="27"/>
      <c r="G152" s="27"/>
      <c r="H152" s="6"/>
      <c r="I152" s="7" t="str">
        <f ca="1">IFERROR(__xludf.DUMMYFUNCTION("""COMPUTED_VALUE"""),"過放電保護裝置未定期檢修")</f>
        <v>過放電保護裝置未定期檢修</v>
      </c>
      <c r="J152" s="8">
        <f ca="1">IFERROR(__xludf.DUMMYFUNCTION("""COMPUTED_VALUE"""),7.5)</f>
        <v>7.5</v>
      </c>
      <c r="K152" s="2"/>
      <c r="L152" s="9"/>
      <c r="M152" s="2"/>
      <c r="N152" s="9"/>
      <c r="O152" s="2"/>
      <c r="P152" s="9"/>
      <c r="Q152" s="2"/>
      <c r="R152" s="9"/>
      <c r="S152" s="2"/>
      <c r="T152" s="9"/>
      <c r="U152" s="2"/>
      <c r="V152" s="9"/>
      <c r="W152" s="2"/>
      <c r="X152" s="9"/>
      <c r="Y152" s="2"/>
      <c r="Z152" s="9"/>
      <c r="AA152" s="27"/>
      <c r="AB152" s="27"/>
      <c r="AC152" s="27"/>
      <c r="AD152" s="2"/>
      <c r="AE152" s="2"/>
      <c r="AF152" s="2"/>
    </row>
    <row r="153" spans="1:32" ht="15.6">
      <c r="A153" s="19" t="str">
        <f ca="1">IFERROR(__xludf.DUMMYFUNCTION("IMPORTRANGE(""https://docs.google.com/spreadsheets/d/1g3k-_bsDSgGx-LrtXVu_8pmZey8G_3GZEmdJXJYtcxo/edit?gid=1002240745#gid=1002240745"",""'F1-e1'!A1:AC9"")"),"溫度上限設定不當 F1-e1(t)")</f>
        <v>溫度上限設定不當 F1-e1(t)</v>
      </c>
      <c r="B153" s="20"/>
      <c r="C153" s="20"/>
      <c r="D153" s="20"/>
      <c r="E153" s="20"/>
      <c r="F153" s="20"/>
      <c r="G153" s="20"/>
      <c r="H153" s="1"/>
      <c r="I153" s="21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2"/>
      <c r="AA153" s="23"/>
      <c r="AB153" s="24"/>
      <c r="AC153" s="24"/>
      <c r="AD153" s="2"/>
      <c r="AE153" s="2"/>
      <c r="AF153" s="2"/>
    </row>
    <row r="154" spans="1:32" ht="46.8">
      <c r="A154" s="3" t="str">
        <f ca="1">IFERROR(__xludf.DUMMYFUNCTION("""COMPUTED_VALUE"""),"確保可靠度的手段")</f>
        <v>確保可靠度的手段</v>
      </c>
      <c r="B154" s="25" t="str">
        <f ca="1">IFERROR(__xludf.DUMMYFUNCTION("""COMPUTED_VALUE"""),"確證方式")</f>
        <v>確證方式</v>
      </c>
      <c r="C154" s="22"/>
      <c r="D154" s="3" t="str">
        <f ca="1">IFERROR(__xludf.DUMMYFUNCTION("""COMPUTED_VALUE"""),"得分")</f>
        <v>得分</v>
      </c>
      <c r="E154" s="3" t="str">
        <f ca="1">IFERROR(__xludf.DUMMYFUNCTION("""COMPUTED_VALUE"""),"權重")</f>
        <v>權重</v>
      </c>
      <c r="F154" s="3" t="str">
        <f ca="1">IFERROR(__xludf.DUMMYFUNCTION("""COMPUTED_VALUE"""),"可靠度概率")</f>
        <v>可靠度概率</v>
      </c>
      <c r="G154" s="3" t="str">
        <f ca="1">IFERROR(__xludf.DUMMYFUNCTION("""COMPUTED_VALUE"""),"F1-e1(t)")</f>
        <v>F1-e1(t)</v>
      </c>
      <c r="H154" s="4"/>
      <c r="I154" s="5" t="str">
        <f ca="1">IFERROR(__xludf.DUMMYFUNCTION("""COMPUTED_VALUE"""),"調查問項")</f>
        <v>調查問項</v>
      </c>
      <c r="J154" s="5" t="str">
        <f ca="1">IFERROR(__xludf.DUMMYFUNCTION("""COMPUTED_VALUE"""),"分項分數")</f>
        <v>分項分數</v>
      </c>
      <c r="K154" s="5" t="str">
        <f ca="1">IFERROR(__xludf.DUMMYFUNCTION("""COMPUTED_VALUE"""),"勾選組合")</f>
        <v>勾選組合</v>
      </c>
      <c r="L154" s="5" t="str">
        <f ca="1">IFERROR(__xludf.DUMMYFUNCTION("""COMPUTED_VALUE"""),"得分")</f>
        <v>得分</v>
      </c>
      <c r="M154" s="5" t="str">
        <f ca="1">IFERROR(__xludf.DUMMYFUNCTION("""COMPUTED_VALUE"""),"勾選組合")</f>
        <v>勾選組合</v>
      </c>
      <c r="N154" s="5" t="str">
        <f ca="1">IFERROR(__xludf.DUMMYFUNCTION("""COMPUTED_VALUE"""),"得分")</f>
        <v>得分</v>
      </c>
      <c r="O154" s="5" t="str">
        <f ca="1">IFERROR(__xludf.DUMMYFUNCTION("""COMPUTED_VALUE"""),"勾選組合")</f>
        <v>勾選組合</v>
      </c>
      <c r="P154" s="5" t="str">
        <f ca="1">IFERROR(__xludf.DUMMYFUNCTION("""COMPUTED_VALUE"""),"得分")</f>
        <v>得分</v>
      </c>
      <c r="Q154" s="5" t="str">
        <f ca="1">IFERROR(__xludf.DUMMYFUNCTION("""COMPUTED_VALUE"""),"勾選組合")</f>
        <v>勾選組合</v>
      </c>
      <c r="R154" s="5" t="str">
        <f ca="1">IFERROR(__xludf.DUMMYFUNCTION("""COMPUTED_VALUE"""),"得分")</f>
        <v>得分</v>
      </c>
      <c r="S154" s="5" t="str">
        <f ca="1">IFERROR(__xludf.DUMMYFUNCTION("""COMPUTED_VALUE"""),"勾選組合")</f>
        <v>勾選組合</v>
      </c>
      <c r="T154" s="5" t="str">
        <f ca="1">IFERROR(__xludf.DUMMYFUNCTION("""COMPUTED_VALUE"""),"得分")</f>
        <v>得分</v>
      </c>
      <c r="U154" s="5" t="str">
        <f ca="1">IFERROR(__xludf.DUMMYFUNCTION("""COMPUTED_VALUE"""),"勾選組合")</f>
        <v>勾選組合</v>
      </c>
      <c r="V154" s="5" t="str">
        <f ca="1">IFERROR(__xludf.DUMMYFUNCTION("""COMPUTED_VALUE"""),"得分")</f>
        <v>得分</v>
      </c>
      <c r="W154" s="5" t="str">
        <f ca="1">IFERROR(__xludf.DUMMYFUNCTION("""COMPUTED_VALUE"""),"勾選組合")</f>
        <v>勾選組合</v>
      </c>
      <c r="X154" s="5" t="str">
        <f ca="1">IFERROR(__xludf.DUMMYFUNCTION("""COMPUTED_VALUE"""),"得分")</f>
        <v>得分</v>
      </c>
      <c r="Y154" s="5" t="str">
        <f ca="1">IFERROR(__xludf.DUMMYFUNCTION("""COMPUTED_VALUE"""),"勾選組合")</f>
        <v>勾選組合</v>
      </c>
      <c r="Z154" s="5" t="str">
        <f ca="1">IFERROR(__xludf.DUMMYFUNCTION("""COMPUTED_VALUE"""),"得分")</f>
        <v>得分</v>
      </c>
      <c r="AA154" s="25" t="str">
        <f ca="1">IFERROR(__xludf.DUMMYFUNCTION("""COMPUTED_VALUE"""),"F1-e1(t)")</f>
        <v>F1-e1(t)</v>
      </c>
      <c r="AB154" s="20"/>
      <c r="AC154" s="22"/>
      <c r="AD154" s="2"/>
      <c r="AE154" s="2"/>
      <c r="AF154" s="2"/>
    </row>
    <row r="155" spans="1:32" ht="15.6">
      <c r="A155" s="26" t="str">
        <f ca="1">IFERROR(__xludf.DUMMYFUNCTION("""COMPUTED_VALUE"""),"符合規定的溫度上限設定")</f>
        <v>符合規定的溫度上限設定</v>
      </c>
      <c r="B155" s="28" t="str">
        <f ca="1">IFERROR(__xludf.DUMMYFUNCTION("""COMPUTED_VALUE"""),"經由第三方查核確認")</f>
        <v>經由第三方查核確認</v>
      </c>
      <c r="C155" s="29"/>
      <c r="D155" s="32">
        <f ca="1">IFERROR(__xludf.DUMMYFUNCTION("""COMPUTED_VALUE"""),8.6)</f>
        <v>8.6</v>
      </c>
      <c r="E155" s="39">
        <f ca="1">IFERROR(__xludf.DUMMYFUNCTION("""COMPUTED_VALUE"""),0.4)</f>
        <v>0.4</v>
      </c>
      <c r="F155" s="38">
        <f ca="1">IFERROR(__xludf.DUMMYFUNCTION("""COMPUTED_VALUE"""),0.875)</f>
        <v>0.875</v>
      </c>
      <c r="G155" s="38">
        <f ca="1">IFERROR(__xludf.DUMMYFUNCTION("""COMPUTED_VALUE"""),0.125)</f>
        <v>0.125</v>
      </c>
      <c r="H155" s="6"/>
      <c r="I155" s="7" t="str">
        <f ca="1">IFERROR(__xludf.DUMMYFUNCTION("""COMPUTED_VALUE"""),"經由第三方查核確認")</f>
        <v>經由第三方查核確認</v>
      </c>
      <c r="J155" s="8">
        <f ca="1">IFERROR(__xludf.DUMMYFUNCTION("""COMPUTED_VALUE"""),8.6)</f>
        <v>8.6</v>
      </c>
      <c r="K155" s="2"/>
      <c r="L155" s="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37">
        <f ca="1">IFERROR(__xludf.DUMMYFUNCTION("""COMPUTED_VALUE"""),0.11875)</f>
        <v>0.11874999999999999</v>
      </c>
      <c r="AB155" s="37">
        <f ca="1">IFERROR(__xludf.DUMMYFUNCTION("""COMPUTED_VALUE"""),0.125)</f>
        <v>0.125</v>
      </c>
      <c r="AC155" s="37">
        <f ca="1">IFERROR(__xludf.DUMMYFUNCTION("""COMPUTED_VALUE"""),0.13125)</f>
        <v>0.13125000000000001</v>
      </c>
      <c r="AD155" s="2"/>
      <c r="AE155" s="2"/>
      <c r="AF155" s="2"/>
    </row>
    <row r="156" spans="1:32" ht="15.6">
      <c r="A156" s="27"/>
      <c r="B156" s="30"/>
      <c r="C156" s="31"/>
      <c r="D156" s="27"/>
      <c r="E156" s="27"/>
      <c r="F156" s="34"/>
      <c r="G156" s="34"/>
      <c r="H156" s="6"/>
      <c r="I156" s="7" t="str">
        <f ca="1">IFERROR(__xludf.DUMMYFUNCTION("""COMPUTED_VALUE"""),"未經由第三方查核確認")</f>
        <v>未經由第三方查核確認</v>
      </c>
      <c r="J156" s="8">
        <f ca="1">IFERROR(__xludf.DUMMYFUNCTION("""COMPUTED_VALUE"""),7.6)</f>
        <v>7.6</v>
      </c>
      <c r="K156" s="2"/>
      <c r="L156" s="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34"/>
      <c r="AB156" s="34"/>
      <c r="AC156" s="34"/>
      <c r="AD156" s="2"/>
      <c r="AE156" s="2"/>
      <c r="AF156" s="2"/>
    </row>
    <row r="157" spans="1:32" ht="62.4">
      <c r="A157" s="36" t="str">
        <f ca="1">IFERROR(__xludf.DUMMYFUNCTION("""COMPUTED_VALUE"""),"溫度上限異常移報訊號")</f>
        <v>溫度上限異常移報訊號</v>
      </c>
      <c r="B157" s="10" t="b">
        <f ca="1">IFERROR(__xludf.DUMMYFUNCTION("""COMPUTED_VALUE"""),FALSE)</f>
        <v>0</v>
      </c>
      <c r="C15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57" s="33">
        <f ca="1">IFERROR(__xludf.DUMMYFUNCTION("""COMPUTED_VALUE"""),9)</f>
        <v>9</v>
      </c>
      <c r="E157" s="35">
        <f ca="1">IFERROR(__xludf.DUMMYFUNCTION("""COMPUTED_VALUE"""),0.3)</f>
        <v>0.3</v>
      </c>
      <c r="F157" s="34"/>
      <c r="G157" s="34"/>
      <c r="H157" s="6"/>
      <c r="I15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57" s="12">
        <f ca="1">IFERROR(__xludf.DUMMYFUNCTION("""COMPUTED_VALUE"""),8.9)</f>
        <v>8.9</v>
      </c>
      <c r="K157" s="13" t="b">
        <f ca="1">IFERROR(__xludf.DUMMYFUNCTION("""COMPUTED_VALUE"""),TRUE)</f>
        <v>1</v>
      </c>
      <c r="L157" s="33">
        <f ca="1">IFERROR(__xludf.DUMMYFUNCTION("""COMPUTED_VALUE"""),9.2)</f>
        <v>9.1999999999999993</v>
      </c>
      <c r="M157" s="13" t="b">
        <f ca="1">IFERROR(__xludf.DUMMYFUNCTION("""COMPUTED_VALUE"""),FALSE)</f>
        <v>0</v>
      </c>
      <c r="N157" s="33">
        <f ca="1">IFERROR(__xludf.DUMMYFUNCTION("""COMPUTED_VALUE"""),7.6)</f>
        <v>7.6</v>
      </c>
      <c r="O157" s="13" t="b">
        <f ca="1">IFERROR(__xludf.DUMMYFUNCTION("""COMPUTED_VALUE"""),TRUE)</f>
        <v>1</v>
      </c>
      <c r="P157" s="33">
        <f ca="1">IFERROR(__xludf.DUMMYFUNCTION("""COMPUTED_VALUE"""),9)</f>
        <v>9</v>
      </c>
      <c r="Q157" s="13" t="b">
        <f ca="1">IFERROR(__xludf.DUMMYFUNCTION("""COMPUTED_VALUE"""),FALSE)</f>
        <v>0</v>
      </c>
      <c r="R157" s="33">
        <f ca="1">IFERROR(__xludf.DUMMYFUNCTION("""COMPUTED_VALUE"""),9)</f>
        <v>9</v>
      </c>
      <c r="S157" s="13" t="b">
        <f ca="1">IFERROR(__xludf.DUMMYFUNCTION("""COMPUTED_VALUE"""),TRUE)</f>
        <v>1</v>
      </c>
      <c r="T157" s="33">
        <f ca="1">IFERROR(__xludf.DUMMYFUNCTION("""COMPUTED_VALUE"""),9)</f>
        <v>9</v>
      </c>
      <c r="U157" s="13" t="b">
        <f ca="1">IFERROR(__xludf.DUMMYFUNCTION("""COMPUTED_VALUE"""),TRUE)</f>
        <v>1</v>
      </c>
      <c r="V157" s="33">
        <f ca="1">IFERROR(__xludf.DUMMYFUNCTION("""COMPUTED_VALUE"""),8.9)</f>
        <v>8.9</v>
      </c>
      <c r="W157" s="13" t="b">
        <f ca="1">IFERROR(__xludf.DUMMYFUNCTION("""COMPUTED_VALUE"""),FALSE)</f>
        <v>0</v>
      </c>
      <c r="X157" s="33">
        <f ca="1">IFERROR(__xludf.DUMMYFUNCTION("""COMPUTED_VALUE"""),8.6)</f>
        <v>8.6</v>
      </c>
      <c r="Y157" s="13" t="b">
        <f ca="1">IFERROR(__xludf.DUMMYFUNCTION("""COMPUTED_VALUE"""),FALSE)</f>
        <v>0</v>
      </c>
      <c r="Z157" s="33">
        <f ca="1">IFERROR(__xludf.DUMMYFUNCTION("""COMPUTED_VALUE"""),8.6)</f>
        <v>8.6</v>
      </c>
      <c r="AA157" s="34"/>
      <c r="AB157" s="34"/>
      <c r="AC157" s="34"/>
      <c r="AD157" s="2"/>
      <c r="AE157" s="2"/>
      <c r="AF157" s="2"/>
    </row>
    <row r="158" spans="1:32" ht="31.2">
      <c r="A158" s="34"/>
      <c r="B158" s="10" t="b">
        <f ca="1">IFERROR(__xludf.DUMMYFUNCTION("""COMPUTED_VALUE"""),TRUE)</f>
        <v>1</v>
      </c>
      <c r="C158" s="11" t="str">
        <f ca="1">IFERROR(__xludf.DUMMYFUNCTION("""COMPUTED_VALUE"""),"BMS通過Test Report - IEC 60730-1 - Annex H測試")</f>
        <v>BMS通過Test Report - IEC 60730-1 - Annex H測試</v>
      </c>
      <c r="D158" s="34"/>
      <c r="E158" s="34"/>
      <c r="F158" s="34"/>
      <c r="G158" s="34"/>
      <c r="H158" s="6"/>
      <c r="I158" s="11" t="str">
        <f ca="1">IFERROR(__xludf.DUMMYFUNCTION("""COMPUTED_VALUE"""),"BMS通過Test Report - IEC 60730-1 - Annex H測試")</f>
        <v>BMS通過Test Report - IEC 60730-1 - Annex H測試</v>
      </c>
      <c r="J158" s="12">
        <f ca="1">IFERROR(__xludf.DUMMYFUNCTION("""COMPUTED_VALUE"""),8.6)</f>
        <v>8.6</v>
      </c>
      <c r="K158" s="14" t="b">
        <f ca="1">IFERROR(__xludf.DUMMYFUNCTION("""COMPUTED_VALUE"""),TRUE)</f>
        <v>1</v>
      </c>
      <c r="L158" s="34"/>
      <c r="M158" s="14" t="b">
        <f ca="1">IFERROR(__xludf.DUMMYFUNCTION("""COMPUTED_VALUE"""),FALSE)</f>
        <v>0</v>
      </c>
      <c r="N158" s="34"/>
      <c r="O158" s="14" t="b">
        <f ca="1">IFERROR(__xludf.DUMMYFUNCTION("""COMPUTED_VALUE"""),TRUE)</f>
        <v>1</v>
      </c>
      <c r="P158" s="34"/>
      <c r="Q158" s="14" t="b">
        <f ca="1">IFERROR(__xludf.DUMMYFUNCTION("""COMPUTED_VALUE"""),TRUE)</f>
        <v>1</v>
      </c>
      <c r="R158" s="34"/>
      <c r="S158" s="14" t="b">
        <f ca="1">IFERROR(__xludf.DUMMYFUNCTION("""COMPUTED_VALUE"""),FALSE)</f>
        <v>0</v>
      </c>
      <c r="T158" s="34"/>
      <c r="U158" s="14" t="b">
        <f ca="1">IFERROR(__xludf.DUMMYFUNCTION("""COMPUTED_VALUE"""),FALSE)</f>
        <v>0</v>
      </c>
      <c r="V158" s="34"/>
      <c r="W158" s="14" t="b">
        <f ca="1">IFERROR(__xludf.DUMMYFUNCTION("""COMPUTED_VALUE"""),TRUE)</f>
        <v>1</v>
      </c>
      <c r="X158" s="34"/>
      <c r="Y158" s="14" t="b">
        <f ca="1">IFERROR(__xludf.DUMMYFUNCTION("""COMPUTED_VALUE"""),FALSE)</f>
        <v>0</v>
      </c>
      <c r="Z158" s="34"/>
      <c r="AA158" s="34"/>
      <c r="AB158" s="34"/>
      <c r="AC158" s="34"/>
      <c r="AD158" s="2"/>
      <c r="AE158" s="2"/>
      <c r="AF158" s="2"/>
    </row>
    <row r="159" spans="1:32" ht="31.2">
      <c r="A159" s="27"/>
      <c r="B159" s="10" t="b">
        <f ca="1">IFERROR(__xludf.DUMMYFUNCTION("""COMPUTED_VALUE"""),TRUE)</f>
        <v>1</v>
      </c>
      <c r="C159" s="11" t="str">
        <f ca="1">IFERROR(__xludf.DUMMYFUNCTION("""COMPUTED_VALUE"""),"異常訊號可同時通知現場及遠端管理人員")</f>
        <v>異常訊號可同時通知現場及遠端管理人員</v>
      </c>
      <c r="D159" s="27"/>
      <c r="E159" s="27"/>
      <c r="F159" s="34"/>
      <c r="G159" s="34"/>
      <c r="H159" s="6"/>
      <c r="I159" s="11" t="str">
        <f ca="1">IFERROR(__xludf.DUMMYFUNCTION("""COMPUTED_VALUE"""),"異常訊號可同時通知現場及遠端管理人員")</f>
        <v>異常訊號可同時通知現場及遠端管理人員</v>
      </c>
      <c r="J159" s="12">
        <f ca="1">IFERROR(__xludf.DUMMYFUNCTION("""COMPUTED_VALUE"""),8.6)</f>
        <v>8.6</v>
      </c>
      <c r="K159" s="13" t="b">
        <f ca="1">IFERROR(__xludf.DUMMYFUNCTION("""COMPUTED_VALUE"""),TRUE)</f>
        <v>1</v>
      </c>
      <c r="L159" s="27"/>
      <c r="M159" s="13" t="b">
        <f ca="1">IFERROR(__xludf.DUMMYFUNCTION("""COMPUTED_VALUE"""),FALSE)</f>
        <v>0</v>
      </c>
      <c r="N159" s="27"/>
      <c r="O159" s="13" t="b">
        <f ca="1">IFERROR(__xludf.DUMMYFUNCTION("""COMPUTED_VALUE"""),FALSE)</f>
        <v>0</v>
      </c>
      <c r="P159" s="27"/>
      <c r="Q159" s="13" t="b">
        <f ca="1">IFERROR(__xludf.DUMMYFUNCTION("""COMPUTED_VALUE"""),TRUE)</f>
        <v>1</v>
      </c>
      <c r="R159" s="27"/>
      <c r="S159" s="13" t="b">
        <f ca="1">IFERROR(__xludf.DUMMYFUNCTION("""COMPUTED_VALUE"""),TRUE)</f>
        <v>1</v>
      </c>
      <c r="T159" s="27"/>
      <c r="U159" s="13" t="b">
        <f ca="1">IFERROR(__xludf.DUMMYFUNCTION("""COMPUTED_VALUE"""),FALSE)</f>
        <v>0</v>
      </c>
      <c r="V159" s="27"/>
      <c r="W159" s="13" t="b">
        <f ca="1">IFERROR(__xludf.DUMMYFUNCTION("""COMPUTED_VALUE"""),FALSE)</f>
        <v>0</v>
      </c>
      <c r="X159" s="27"/>
      <c r="Y159" s="13" t="b">
        <f ca="1">IFERROR(__xludf.DUMMYFUNCTION("""COMPUTED_VALUE"""),TRUE)</f>
        <v>1</v>
      </c>
      <c r="Z159" s="27"/>
      <c r="AA159" s="34"/>
      <c r="AB159" s="34"/>
      <c r="AC159" s="34"/>
      <c r="AD159" s="2"/>
      <c r="AE159" s="2"/>
      <c r="AF159" s="2"/>
    </row>
    <row r="160" spans="1:32" ht="15.6">
      <c r="A160" s="26" t="str">
        <f ca="1">IFERROR(__xludf.DUMMYFUNCTION("""COMPUTED_VALUE"""),"溫度上限的歷史紀錄")</f>
        <v>溫度上限的歷史紀錄</v>
      </c>
      <c r="B160" s="28" t="str">
        <f ca="1">IFERROR(__xludf.DUMMYFUNCTION("""COMPUTED_VALUE"""),"歷史紀錄保存完整")</f>
        <v>歷史紀錄保存完整</v>
      </c>
      <c r="C160" s="29"/>
      <c r="D160" s="32">
        <f ca="1">IFERROR(__xludf.DUMMYFUNCTION("""COMPUTED_VALUE"""),8.7)</f>
        <v>8.6999999999999993</v>
      </c>
      <c r="E160" s="39">
        <f ca="1">IFERROR(__xludf.DUMMYFUNCTION("""COMPUTED_VALUE"""),0.3)</f>
        <v>0.3</v>
      </c>
      <c r="F160" s="34"/>
      <c r="G160" s="34"/>
      <c r="H160" s="6"/>
      <c r="I160" s="7" t="str">
        <f ca="1">IFERROR(__xludf.DUMMYFUNCTION("""COMPUTED_VALUE"""),"歷史紀錄保存完整")</f>
        <v>歷史紀錄保存完整</v>
      </c>
      <c r="J160" s="8">
        <f ca="1">IFERROR(__xludf.DUMMYFUNCTION("""COMPUTED_VALUE"""),8.7)</f>
        <v>8.6999999999999993</v>
      </c>
      <c r="K160" s="2"/>
      <c r="L160" s="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34"/>
      <c r="AB160" s="34"/>
      <c r="AC160" s="34"/>
      <c r="AD160" s="2"/>
      <c r="AE160" s="2"/>
      <c r="AF160" s="2"/>
    </row>
    <row r="161" spans="1:32" ht="15.6">
      <c r="A161" s="27"/>
      <c r="B161" s="30"/>
      <c r="C161" s="31"/>
      <c r="D161" s="27"/>
      <c r="E161" s="27"/>
      <c r="F161" s="27"/>
      <c r="G161" s="27"/>
      <c r="H161" s="6"/>
      <c r="I161" s="7" t="str">
        <f ca="1">IFERROR(__xludf.DUMMYFUNCTION("""COMPUTED_VALUE"""),"歷史紀錄未保存完整")</f>
        <v>歷史紀錄未保存完整</v>
      </c>
      <c r="J161" s="8">
        <f ca="1">IFERROR(__xludf.DUMMYFUNCTION("""COMPUTED_VALUE"""),7.9)</f>
        <v>7.9</v>
      </c>
      <c r="K161" s="2"/>
      <c r="L161" s="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7"/>
      <c r="AB161" s="27"/>
      <c r="AC161" s="27"/>
      <c r="AD161" s="2"/>
      <c r="AE161" s="2"/>
      <c r="AF161" s="2"/>
    </row>
    <row r="162" spans="1:32" ht="15.6">
      <c r="A162" s="19" t="str">
        <f ca="1">IFERROR(__xludf.DUMMYFUNCTION("IMPORTRANGE(""https://docs.google.com/spreadsheets/d/1g3k-_bsDSgGx-LrtXVu_8pmZey8G_3GZEmdJXJYtcxo/edit?gid=240464020#gid=240464020"",""'F1-e2'!A1:AC8"")"),"過溫保護裝置故障 F1-e2(t)")</f>
        <v>過溫保護裝置故障 F1-e2(t)</v>
      </c>
      <c r="B162" s="20"/>
      <c r="C162" s="20"/>
      <c r="D162" s="20"/>
      <c r="E162" s="20"/>
      <c r="F162" s="20"/>
      <c r="G162" s="20"/>
      <c r="H162" s="1"/>
      <c r="I162" s="21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2"/>
      <c r="AA162" s="23"/>
      <c r="AB162" s="24"/>
      <c r="AC162" s="24"/>
      <c r="AD162" s="2"/>
      <c r="AE162" s="2"/>
      <c r="AF162" s="2"/>
    </row>
    <row r="163" spans="1:32" ht="46.8">
      <c r="A163" s="3" t="str">
        <f ca="1">IFERROR(__xludf.DUMMYFUNCTION("""COMPUTED_VALUE"""),"確保可靠度的手段")</f>
        <v>確保可靠度的手段</v>
      </c>
      <c r="B163" s="25" t="str">
        <f ca="1">IFERROR(__xludf.DUMMYFUNCTION("""COMPUTED_VALUE"""),"確證方式")</f>
        <v>確證方式</v>
      </c>
      <c r="C163" s="22"/>
      <c r="D163" s="3" t="str">
        <f ca="1">IFERROR(__xludf.DUMMYFUNCTION("""COMPUTED_VALUE"""),"得分")</f>
        <v>得分</v>
      </c>
      <c r="E163" s="3" t="str">
        <f ca="1">IFERROR(__xludf.DUMMYFUNCTION("""COMPUTED_VALUE"""),"權重")</f>
        <v>權重</v>
      </c>
      <c r="F163" s="3" t="str">
        <f ca="1">IFERROR(__xludf.DUMMYFUNCTION("""COMPUTED_VALUE"""),"可靠度
 概率")</f>
        <v>可靠度
 概率</v>
      </c>
      <c r="G163" s="3" t="str">
        <f ca="1">IFERROR(__xludf.DUMMYFUNCTION("""COMPUTED_VALUE"""),"F1-e2(t)")</f>
        <v>F1-e2(t)</v>
      </c>
      <c r="H163" s="4"/>
      <c r="I163" s="5" t="str">
        <f ca="1">IFERROR(__xludf.DUMMYFUNCTION("""COMPUTED_VALUE"""),"調查問項")</f>
        <v>調查問項</v>
      </c>
      <c r="J163" s="5" t="str">
        <f ca="1">IFERROR(__xludf.DUMMYFUNCTION("""COMPUTED_VALUE"""),"分項分數")</f>
        <v>分項分數</v>
      </c>
      <c r="K163" s="5" t="str">
        <f ca="1">IFERROR(__xludf.DUMMYFUNCTION("""COMPUTED_VALUE"""),"勾選組合")</f>
        <v>勾選組合</v>
      </c>
      <c r="L163" s="5" t="str">
        <f ca="1">IFERROR(__xludf.DUMMYFUNCTION("""COMPUTED_VALUE"""),"得分")</f>
        <v>得分</v>
      </c>
      <c r="M163" s="5" t="str">
        <f ca="1">IFERROR(__xludf.DUMMYFUNCTION("""COMPUTED_VALUE"""),"勾選組合")</f>
        <v>勾選組合</v>
      </c>
      <c r="N163" s="5" t="str">
        <f ca="1">IFERROR(__xludf.DUMMYFUNCTION("""COMPUTED_VALUE"""),"得分")</f>
        <v>得分</v>
      </c>
      <c r="O163" s="5" t="str">
        <f ca="1">IFERROR(__xludf.DUMMYFUNCTION("""COMPUTED_VALUE"""),"勾選組合")</f>
        <v>勾選組合</v>
      </c>
      <c r="P163" s="5" t="str">
        <f ca="1">IFERROR(__xludf.DUMMYFUNCTION("""COMPUTED_VALUE"""),"得分")</f>
        <v>得分</v>
      </c>
      <c r="Q163" s="5" t="str">
        <f ca="1">IFERROR(__xludf.DUMMYFUNCTION("""COMPUTED_VALUE"""),"勾選組合")</f>
        <v>勾選組合</v>
      </c>
      <c r="R163" s="5" t="str">
        <f ca="1">IFERROR(__xludf.DUMMYFUNCTION("""COMPUTED_VALUE"""),"得分")</f>
        <v>得分</v>
      </c>
      <c r="S163" s="5" t="str">
        <f ca="1">IFERROR(__xludf.DUMMYFUNCTION("""COMPUTED_VALUE"""),"勾選組合")</f>
        <v>勾選組合</v>
      </c>
      <c r="T163" s="5" t="str">
        <f ca="1">IFERROR(__xludf.DUMMYFUNCTION("""COMPUTED_VALUE"""),"得分")</f>
        <v>得分</v>
      </c>
      <c r="U163" s="5" t="str">
        <f ca="1">IFERROR(__xludf.DUMMYFUNCTION("""COMPUTED_VALUE"""),"勾選組合")</f>
        <v>勾選組合</v>
      </c>
      <c r="V163" s="5" t="str">
        <f ca="1">IFERROR(__xludf.DUMMYFUNCTION("""COMPUTED_VALUE"""),"得分")</f>
        <v>得分</v>
      </c>
      <c r="W163" s="5" t="str">
        <f ca="1">IFERROR(__xludf.DUMMYFUNCTION("""COMPUTED_VALUE"""),"勾選組合")</f>
        <v>勾選組合</v>
      </c>
      <c r="X163" s="5" t="str">
        <f ca="1">IFERROR(__xludf.DUMMYFUNCTION("""COMPUTED_VALUE"""),"得分")</f>
        <v>得分</v>
      </c>
      <c r="Y163" s="5" t="str">
        <f ca="1">IFERROR(__xludf.DUMMYFUNCTION("""COMPUTED_VALUE"""),"勾選組合")</f>
        <v>勾選組合</v>
      </c>
      <c r="Z163" s="5" t="str">
        <f ca="1">IFERROR(__xludf.DUMMYFUNCTION("""COMPUTED_VALUE"""),"得分")</f>
        <v>得分</v>
      </c>
      <c r="AA163" s="25" t="str">
        <f ca="1">IFERROR(__xludf.DUMMYFUNCTION("""COMPUTED_VALUE"""),"F1-e2(t)")</f>
        <v>F1-e2(t)</v>
      </c>
      <c r="AB163" s="20"/>
      <c r="AC163" s="22"/>
      <c r="AD163" s="2"/>
      <c r="AE163" s="2"/>
      <c r="AF163" s="2"/>
    </row>
    <row r="164" spans="1:32" ht="15.6">
      <c r="A164" s="36" t="str">
        <f ca="1">IFERROR(__xludf.DUMMYFUNCTION("""COMPUTED_VALUE"""),"過溫保護裝置通過認證")</f>
        <v>過溫保護裝置通過認證</v>
      </c>
      <c r="B164" s="10" t="b">
        <f ca="1">IFERROR(__xludf.DUMMYFUNCTION("""COMPUTED_VALUE"""),TRUE)</f>
        <v>1</v>
      </c>
      <c r="C164" s="11" t="str">
        <f ca="1">IFERROR(__xludf.DUMMYFUNCTION("""COMPUTED_VALUE"""),"取得 UL 1973 認證證書")</f>
        <v>取得 UL 1973 認證證書</v>
      </c>
      <c r="D164" s="33">
        <f ca="1">IFERROR(__xludf.DUMMYFUNCTION("""COMPUTED_VALUE"""),9.2)</f>
        <v>9.1999999999999993</v>
      </c>
      <c r="E164" s="35">
        <f ca="1">IFERROR(__xludf.DUMMYFUNCTION("""COMPUTED_VALUE"""),0.6)</f>
        <v>0.6</v>
      </c>
      <c r="F164" s="38">
        <f ca="1">IFERROR(__xludf.DUMMYFUNCTION("""COMPUTED_VALUE"""),0.895999999999999)</f>
        <v>0.89599999999999902</v>
      </c>
      <c r="G164" s="38">
        <f ca="1">IFERROR(__xludf.DUMMYFUNCTION("""COMPUTED_VALUE"""),0.104)</f>
        <v>0.104</v>
      </c>
      <c r="H164" s="6"/>
      <c r="I164" s="11" t="str">
        <f ca="1">IFERROR(__xludf.DUMMYFUNCTION("""COMPUTED_VALUE"""),"取得 UL 1973 認證證書")</f>
        <v>取得 UL 1973 認證證書</v>
      </c>
      <c r="J164" s="12">
        <f ca="1">IFERROR(__xludf.DUMMYFUNCTION("""COMPUTED_VALUE"""),8.6)</f>
        <v>8.6</v>
      </c>
      <c r="K164" s="13" t="b">
        <f ca="1">IFERROR(__xludf.DUMMYFUNCTION("""COMPUTED_VALUE"""),TRUE)</f>
        <v>1</v>
      </c>
      <c r="L164" s="33">
        <f ca="1">IFERROR(__xludf.DUMMYFUNCTION("""COMPUTED_VALUE"""),9.2)</f>
        <v>9.1999999999999993</v>
      </c>
      <c r="M164" s="13" t="b">
        <f ca="1">IFERROR(__xludf.DUMMYFUNCTION("""COMPUTED_VALUE"""),FALSE)</f>
        <v>0</v>
      </c>
      <c r="N164" s="33">
        <f ca="1">IFERROR(__xludf.DUMMYFUNCTION("""COMPUTED_VALUE"""),7.8)</f>
        <v>7.8</v>
      </c>
      <c r="O164" s="13" t="b">
        <f ca="1">IFERROR(__xludf.DUMMYFUNCTION("""COMPUTED_VALUE"""),TRUE)</f>
        <v>1</v>
      </c>
      <c r="P164" s="33">
        <f ca="1">IFERROR(__xludf.DUMMYFUNCTION("""COMPUTED_VALUE"""),9)</f>
        <v>9</v>
      </c>
      <c r="Q164" s="13" t="b">
        <f ca="1">IFERROR(__xludf.DUMMYFUNCTION("""COMPUTED_VALUE"""),FALSE)</f>
        <v>0</v>
      </c>
      <c r="R164" s="33">
        <f ca="1">IFERROR(__xludf.DUMMYFUNCTION("""COMPUTED_VALUE"""),9)</f>
        <v>9</v>
      </c>
      <c r="S164" s="13" t="b">
        <f ca="1">IFERROR(__xludf.DUMMYFUNCTION("""COMPUTED_VALUE"""),TRUE)</f>
        <v>1</v>
      </c>
      <c r="T164" s="33">
        <f ca="1">IFERROR(__xludf.DUMMYFUNCTION("""COMPUTED_VALUE"""),9)</f>
        <v>9</v>
      </c>
      <c r="U164" s="13" t="b">
        <f ca="1">IFERROR(__xludf.DUMMYFUNCTION("""COMPUTED_VALUE"""),TRUE)</f>
        <v>1</v>
      </c>
      <c r="V164" s="33">
        <f ca="1">IFERROR(__xludf.DUMMYFUNCTION("""COMPUTED_VALUE"""),8.6)</f>
        <v>8.6</v>
      </c>
      <c r="W164" s="13" t="b">
        <f ca="1">IFERROR(__xludf.DUMMYFUNCTION("""COMPUTED_VALUE"""),FALSE)</f>
        <v>0</v>
      </c>
      <c r="X164" s="33">
        <f ca="1">IFERROR(__xludf.DUMMYFUNCTION("""COMPUTED_VALUE"""),8.6)</f>
        <v>8.6</v>
      </c>
      <c r="Y164" s="13" t="b">
        <f ca="1">IFERROR(__xludf.DUMMYFUNCTION("""COMPUTED_VALUE"""),FALSE)</f>
        <v>0</v>
      </c>
      <c r="Z164" s="33">
        <f ca="1">IFERROR(__xludf.DUMMYFUNCTION("""COMPUTED_VALUE"""),8.5)</f>
        <v>8.5</v>
      </c>
      <c r="AA164" s="37">
        <f ca="1">IFERROR(__xludf.DUMMYFUNCTION("""COMPUTED_VALUE"""),0.0988)</f>
        <v>9.8799999999999999E-2</v>
      </c>
      <c r="AB164" s="37">
        <f ca="1">IFERROR(__xludf.DUMMYFUNCTION("""COMPUTED_VALUE"""),0.104)</f>
        <v>0.104</v>
      </c>
      <c r="AC164" s="37">
        <f ca="1">IFERROR(__xludf.DUMMYFUNCTION("""COMPUTED_VALUE"""),0.1092)</f>
        <v>0.10920000000000001</v>
      </c>
      <c r="AD164" s="2"/>
      <c r="AE164" s="2"/>
      <c r="AF164" s="2"/>
    </row>
    <row r="165" spans="1:32" ht="15.6">
      <c r="A165" s="34"/>
      <c r="B165" s="10" t="b">
        <f ca="1">IFERROR(__xludf.DUMMYFUNCTION("""COMPUTED_VALUE"""),TRUE)</f>
        <v>1</v>
      </c>
      <c r="C165" s="11" t="str">
        <f ca="1">IFERROR(__xludf.DUMMYFUNCTION("""COMPUTED_VALUE"""),"取得 CNS 62619 認證證書")</f>
        <v>取得 CNS 62619 認證證書</v>
      </c>
      <c r="D165" s="34"/>
      <c r="E165" s="34"/>
      <c r="F165" s="34"/>
      <c r="G165" s="34"/>
      <c r="H165" s="6"/>
      <c r="I165" s="11" t="str">
        <f ca="1">IFERROR(__xludf.DUMMYFUNCTION("""COMPUTED_VALUE"""),"取得 CNS 62619 認證證書")</f>
        <v>取得 CNS 62619 認證證書</v>
      </c>
      <c r="J165" s="12">
        <f ca="1">IFERROR(__xludf.DUMMYFUNCTION("""COMPUTED_VALUE"""),8.6)</f>
        <v>8.6</v>
      </c>
      <c r="K165" s="14" t="b">
        <f ca="1">IFERROR(__xludf.DUMMYFUNCTION("""COMPUTED_VALUE"""),TRUE)</f>
        <v>1</v>
      </c>
      <c r="L165" s="34"/>
      <c r="M165" s="14" t="b">
        <f ca="1">IFERROR(__xludf.DUMMYFUNCTION("""COMPUTED_VALUE"""),FALSE)</f>
        <v>0</v>
      </c>
      <c r="N165" s="34"/>
      <c r="O165" s="14" t="b">
        <f ca="1">IFERROR(__xludf.DUMMYFUNCTION("""COMPUTED_VALUE"""),TRUE)</f>
        <v>1</v>
      </c>
      <c r="P165" s="34"/>
      <c r="Q165" s="14" t="b">
        <f ca="1">IFERROR(__xludf.DUMMYFUNCTION("""COMPUTED_VALUE"""),TRUE)</f>
        <v>1</v>
      </c>
      <c r="R165" s="34"/>
      <c r="S165" s="14" t="b">
        <f ca="1">IFERROR(__xludf.DUMMYFUNCTION("""COMPUTED_VALUE"""),FALSE)</f>
        <v>0</v>
      </c>
      <c r="T165" s="34"/>
      <c r="U165" s="14" t="b">
        <f ca="1">IFERROR(__xludf.DUMMYFUNCTION("""COMPUTED_VALUE"""),FALSE)</f>
        <v>0</v>
      </c>
      <c r="V165" s="34"/>
      <c r="W165" s="14" t="b">
        <f ca="1">IFERROR(__xludf.DUMMYFUNCTION("""COMPUTED_VALUE"""),TRUE)</f>
        <v>1</v>
      </c>
      <c r="X165" s="34"/>
      <c r="Y165" s="14" t="b">
        <f ca="1">IFERROR(__xludf.DUMMYFUNCTION("""COMPUTED_VALUE"""),FALSE)</f>
        <v>0</v>
      </c>
      <c r="Z165" s="34"/>
      <c r="AA165" s="34"/>
      <c r="AB165" s="34"/>
      <c r="AC165" s="34"/>
      <c r="AD165" s="2"/>
      <c r="AE165" s="2"/>
      <c r="AF165" s="2"/>
    </row>
    <row r="166" spans="1:32" ht="15.6">
      <c r="A166" s="27"/>
      <c r="B166" s="10" t="b">
        <f ca="1">IFERROR(__xludf.DUMMYFUNCTION("""COMPUTED_VALUE"""),TRUE)</f>
        <v>1</v>
      </c>
      <c r="C166" s="11" t="str">
        <f ca="1">IFERROR(__xludf.DUMMYFUNCTION("""COMPUTED_VALUE"""),"符合 IEC 60730 之測試報告")</f>
        <v>符合 IEC 60730 之測試報告</v>
      </c>
      <c r="D166" s="27"/>
      <c r="E166" s="27"/>
      <c r="F166" s="34"/>
      <c r="G166" s="34"/>
      <c r="H166" s="6"/>
      <c r="I166" s="11" t="str">
        <f ca="1">IFERROR(__xludf.DUMMYFUNCTION("""COMPUTED_VALUE"""),"符合 IEC 60730 之測試報告")</f>
        <v>符合 IEC 60730 之測試報告</v>
      </c>
      <c r="J166" s="12">
        <f ca="1">IFERROR(__xludf.DUMMYFUNCTION("""COMPUTED_VALUE"""),8.5)</f>
        <v>8.5</v>
      </c>
      <c r="K166" s="13" t="b">
        <f ca="1">IFERROR(__xludf.DUMMYFUNCTION("""COMPUTED_VALUE"""),TRUE)</f>
        <v>1</v>
      </c>
      <c r="L166" s="27"/>
      <c r="M166" s="13" t="b">
        <f ca="1">IFERROR(__xludf.DUMMYFUNCTION("""COMPUTED_VALUE"""),FALSE)</f>
        <v>0</v>
      </c>
      <c r="N166" s="27"/>
      <c r="O166" s="13" t="b">
        <f ca="1">IFERROR(__xludf.DUMMYFUNCTION("""COMPUTED_VALUE"""),FALSE)</f>
        <v>0</v>
      </c>
      <c r="P166" s="27"/>
      <c r="Q166" s="13" t="b">
        <f ca="1">IFERROR(__xludf.DUMMYFUNCTION("""COMPUTED_VALUE"""),TRUE)</f>
        <v>1</v>
      </c>
      <c r="R166" s="27"/>
      <c r="S166" s="13" t="b">
        <f ca="1">IFERROR(__xludf.DUMMYFUNCTION("""COMPUTED_VALUE"""),TRUE)</f>
        <v>1</v>
      </c>
      <c r="T166" s="27"/>
      <c r="U166" s="13" t="b">
        <f ca="1">IFERROR(__xludf.DUMMYFUNCTION("""COMPUTED_VALUE"""),FALSE)</f>
        <v>0</v>
      </c>
      <c r="V166" s="27"/>
      <c r="W166" s="13" t="b">
        <f ca="1">IFERROR(__xludf.DUMMYFUNCTION("""COMPUTED_VALUE"""),FALSE)</f>
        <v>0</v>
      </c>
      <c r="X166" s="27"/>
      <c r="Y166" s="13" t="b">
        <f ca="1">IFERROR(__xludf.DUMMYFUNCTION("""COMPUTED_VALUE"""),TRUE)</f>
        <v>1</v>
      </c>
      <c r="Z166" s="27"/>
      <c r="AA166" s="34"/>
      <c r="AB166" s="34"/>
      <c r="AC166" s="34"/>
      <c r="AD166" s="2"/>
      <c r="AE166" s="2"/>
      <c r="AF166" s="2"/>
    </row>
    <row r="167" spans="1:32" ht="15.6">
      <c r="A167" s="26" t="str">
        <f ca="1">IFERROR(__xludf.DUMMYFUNCTION("""COMPUTED_VALUE"""),"過溫保護裝置定期檢修")</f>
        <v>過溫保護裝置定期檢修</v>
      </c>
      <c r="B167" s="28" t="str">
        <f ca="1">IFERROR(__xludf.DUMMYFUNCTION("""COMPUTED_VALUE"""),"過溫保護裝置二年檢修1次")</f>
        <v>過溫保護裝置二年檢修1次</v>
      </c>
      <c r="C167" s="29"/>
      <c r="D167" s="32">
        <f ca="1">IFERROR(__xludf.DUMMYFUNCTION("""COMPUTED_VALUE"""),8.6)</f>
        <v>8.6</v>
      </c>
      <c r="E167" s="39">
        <f ca="1">IFERROR(__xludf.DUMMYFUNCTION("""COMPUTED_VALUE"""),0.4)</f>
        <v>0.4</v>
      </c>
      <c r="F167" s="34"/>
      <c r="G167" s="34"/>
      <c r="H167" s="6"/>
      <c r="I167" s="7" t="str">
        <f ca="1">IFERROR(__xludf.DUMMYFUNCTION("""COMPUTED_VALUE"""),"過溫保護裝置一年檢修1次")</f>
        <v>過溫保護裝置一年檢修1次</v>
      </c>
      <c r="J167" s="8">
        <f ca="1">IFERROR(__xludf.DUMMYFUNCTION("""COMPUTED_VALUE"""),8.9)</f>
        <v>8.9</v>
      </c>
      <c r="K167" s="2"/>
      <c r="L167" s="9"/>
      <c r="M167" s="2"/>
      <c r="N167" s="9"/>
      <c r="O167" s="2"/>
      <c r="P167" s="9"/>
      <c r="Q167" s="2"/>
      <c r="R167" s="9"/>
      <c r="S167" s="2"/>
      <c r="T167" s="9"/>
      <c r="U167" s="2"/>
      <c r="V167" s="9"/>
      <c r="W167" s="2"/>
      <c r="X167" s="9"/>
      <c r="Y167" s="2"/>
      <c r="Z167" s="9"/>
      <c r="AA167" s="34"/>
      <c r="AB167" s="34"/>
      <c r="AC167" s="34"/>
      <c r="AD167" s="2"/>
      <c r="AE167" s="2"/>
      <c r="AF167" s="2"/>
    </row>
    <row r="168" spans="1:32" ht="15.6">
      <c r="A168" s="34"/>
      <c r="B168" s="40"/>
      <c r="C168" s="41"/>
      <c r="D168" s="34"/>
      <c r="E168" s="34"/>
      <c r="F168" s="34"/>
      <c r="G168" s="34"/>
      <c r="H168" s="6"/>
      <c r="I168" s="7" t="str">
        <f ca="1">IFERROR(__xludf.DUMMYFUNCTION("""COMPUTED_VALUE"""),"過溫保護裝置二年檢修1次")</f>
        <v>過溫保護裝置二年檢修1次</v>
      </c>
      <c r="J168" s="8">
        <f ca="1">IFERROR(__xludf.DUMMYFUNCTION("""COMPUTED_VALUE"""),8.6)</f>
        <v>8.6</v>
      </c>
      <c r="K168" s="2"/>
      <c r="L168" s="9"/>
      <c r="M168" s="2"/>
      <c r="N168" s="9"/>
      <c r="O168" s="2"/>
      <c r="P168" s="9"/>
      <c r="Q168" s="2"/>
      <c r="R168" s="9"/>
      <c r="S168" s="2"/>
      <c r="T168" s="9"/>
      <c r="U168" s="2"/>
      <c r="V168" s="9"/>
      <c r="W168" s="2"/>
      <c r="X168" s="9"/>
      <c r="Y168" s="2"/>
      <c r="Z168" s="9"/>
      <c r="AA168" s="34"/>
      <c r="AB168" s="34"/>
      <c r="AC168" s="34"/>
      <c r="AD168" s="2"/>
      <c r="AE168" s="2"/>
      <c r="AF168" s="2"/>
    </row>
    <row r="169" spans="1:32" ht="15.6">
      <c r="A169" s="27"/>
      <c r="B169" s="30"/>
      <c r="C169" s="31"/>
      <c r="D169" s="27"/>
      <c r="E169" s="27"/>
      <c r="F169" s="27"/>
      <c r="G169" s="27"/>
      <c r="H169" s="6"/>
      <c r="I169" s="7" t="str">
        <f ca="1">IFERROR(__xludf.DUMMYFUNCTION("""COMPUTED_VALUE"""),"過溫保護裝置未定期檢修")</f>
        <v>過溫保護裝置未定期檢修</v>
      </c>
      <c r="J169" s="8">
        <f ca="1">IFERROR(__xludf.DUMMYFUNCTION("""COMPUTED_VALUE"""),7.8)</f>
        <v>7.8</v>
      </c>
      <c r="K169" s="2"/>
      <c r="L169" s="9"/>
      <c r="M169" s="2"/>
      <c r="N169" s="9"/>
      <c r="O169" s="2"/>
      <c r="P169" s="9"/>
      <c r="Q169" s="2"/>
      <c r="R169" s="9"/>
      <c r="S169" s="2"/>
      <c r="T169" s="9"/>
      <c r="U169" s="2"/>
      <c r="V169" s="9"/>
      <c r="W169" s="2"/>
      <c r="X169" s="9"/>
      <c r="Y169" s="2"/>
      <c r="Z169" s="9"/>
      <c r="AA169" s="27"/>
      <c r="AB169" s="27"/>
      <c r="AC169" s="27"/>
      <c r="AD169" s="2"/>
      <c r="AE169" s="2"/>
      <c r="AF169" s="2"/>
    </row>
    <row r="170" spans="1:32" ht="15.6">
      <c r="A170" s="19" t="str">
        <f ca="1">IFERROR(__xludf.DUMMYFUNCTION("IMPORTRANGE(""https://docs.google.com/spreadsheets/d/1g3k-_bsDSgGx-LrtXVu_8pmZey8G_3GZEmdJXJYtcxo/edit?gid=2052691449#gid=2052691449"",""'F2-a1'!A1:AC8"")"),"電芯內部電阻異常 F2-a1(t)")</f>
        <v>電芯內部電阻異常 F2-a1(t)</v>
      </c>
      <c r="B170" s="20"/>
      <c r="C170" s="20"/>
      <c r="D170" s="20"/>
      <c r="E170" s="20"/>
      <c r="F170" s="20"/>
      <c r="G170" s="20"/>
      <c r="H170" s="1"/>
      <c r="I170" s="21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2"/>
      <c r="AA170" s="23"/>
      <c r="AB170" s="24"/>
      <c r="AC170" s="24"/>
      <c r="AD170" s="2"/>
      <c r="AE170" s="2"/>
      <c r="AF170" s="2"/>
    </row>
    <row r="171" spans="1:32" ht="46.8">
      <c r="A171" s="3" t="str">
        <f ca="1">IFERROR(__xludf.DUMMYFUNCTION("""COMPUTED_VALUE"""),"確保可靠度的手段")</f>
        <v>確保可靠度的手段</v>
      </c>
      <c r="B171" s="25" t="str">
        <f ca="1">IFERROR(__xludf.DUMMYFUNCTION("""COMPUTED_VALUE"""),"確證方式")</f>
        <v>確證方式</v>
      </c>
      <c r="C171" s="22"/>
      <c r="D171" s="3" t="str">
        <f ca="1">IFERROR(__xludf.DUMMYFUNCTION("""COMPUTED_VALUE"""),"得分")</f>
        <v>得分</v>
      </c>
      <c r="E171" s="3" t="str">
        <f ca="1">IFERROR(__xludf.DUMMYFUNCTION("""COMPUTED_VALUE"""),"權重")</f>
        <v>權重</v>
      </c>
      <c r="F171" s="3" t="str">
        <f ca="1">IFERROR(__xludf.DUMMYFUNCTION("""COMPUTED_VALUE"""),"可靠度
 概率")</f>
        <v>可靠度
 概率</v>
      </c>
      <c r="G171" s="3" t="str">
        <f ca="1">IFERROR(__xludf.DUMMYFUNCTION("""COMPUTED_VALUE"""),"F2-a1(t)")</f>
        <v>F2-a1(t)</v>
      </c>
      <c r="H171" s="4"/>
      <c r="I171" s="5" t="str">
        <f ca="1">IFERROR(__xludf.DUMMYFUNCTION("""COMPUTED_VALUE"""),"調查問項")</f>
        <v>調查問項</v>
      </c>
      <c r="J171" s="5" t="str">
        <f ca="1">IFERROR(__xludf.DUMMYFUNCTION("""COMPUTED_VALUE"""),"分項分數")</f>
        <v>分項分數</v>
      </c>
      <c r="K171" s="5" t="str">
        <f ca="1">IFERROR(__xludf.DUMMYFUNCTION("""COMPUTED_VALUE"""),"勾選組合")</f>
        <v>勾選組合</v>
      </c>
      <c r="L171" s="5" t="str">
        <f ca="1">IFERROR(__xludf.DUMMYFUNCTION("""COMPUTED_VALUE"""),"得分")</f>
        <v>得分</v>
      </c>
      <c r="M171" s="5" t="str">
        <f ca="1">IFERROR(__xludf.DUMMYFUNCTION("""COMPUTED_VALUE"""),"勾選組合")</f>
        <v>勾選組合</v>
      </c>
      <c r="N171" s="5" t="str">
        <f ca="1">IFERROR(__xludf.DUMMYFUNCTION("""COMPUTED_VALUE"""),"得分")</f>
        <v>得分</v>
      </c>
      <c r="O171" s="5" t="str">
        <f ca="1">IFERROR(__xludf.DUMMYFUNCTION("""COMPUTED_VALUE"""),"勾選組合")</f>
        <v>勾選組合</v>
      </c>
      <c r="P171" s="5" t="str">
        <f ca="1">IFERROR(__xludf.DUMMYFUNCTION("""COMPUTED_VALUE"""),"得分")</f>
        <v>得分</v>
      </c>
      <c r="Q171" s="5" t="str">
        <f ca="1">IFERROR(__xludf.DUMMYFUNCTION("""COMPUTED_VALUE"""),"勾選組合")</f>
        <v>勾選組合</v>
      </c>
      <c r="R171" s="5" t="str">
        <f ca="1">IFERROR(__xludf.DUMMYFUNCTION("""COMPUTED_VALUE"""),"得分")</f>
        <v>得分</v>
      </c>
      <c r="S171" s="5" t="str">
        <f ca="1">IFERROR(__xludf.DUMMYFUNCTION("""COMPUTED_VALUE"""),"勾選組合")</f>
        <v>勾選組合</v>
      </c>
      <c r="T171" s="5" t="str">
        <f ca="1">IFERROR(__xludf.DUMMYFUNCTION("""COMPUTED_VALUE"""),"得分")</f>
        <v>得分</v>
      </c>
      <c r="U171" s="5" t="str">
        <f ca="1">IFERROR(__xludf.DUMMYFUNCTION("""COMPUTED_VALUE"""),"勾選組合")</f>
        <v>勾選組合</v>
      </c>
      <c r="V171" s="5" t="str">
        <f ca="1">IFERROR(__xludf.DUMMYFUNCTION("""COMPUTED_VALUE"""),"得分")</f>
        <v>得分</v>
      </c>
      <c r="W171" s="5" t="str">
        <f ca="1">IFERROR(__xludf.DUMMYFUNCTION("""COMPUTED_VALUE"""),"勾選組合")</f>
        <v>勾選組合</v>
      </c>
      <c r="X171" s="5" t="str">
        <f ca="1">IFERROR(__xludf.DUMMYFUNCTION("""COMPUTED_VALUE"""),"得分")</f>
        <v>得分</v>
      </c>
      <c r="Y171" s="5" t="str">
        <f ca="1">IFERROR(__xludf.DUMMYFUNCTION("""COMPUTED_VALUE"""),"勾選組合")</f>
        <v>勾選組合</v>
      </c>
      <c r="Z171" s="5" t="str">
        <f ca="1">IFERROR(__xludf.DUMMYFUNCTION("""COMPUTED_VALUE"""),"得分")</f>
        <v>得分</v>
      </c>
      <c r="AA171" s="25" t="str">
        <f ca="1">IFERROR(__xludf.DUMMYFUNCTION("""COMPUTED_VALUE"""),"F2-a1(t)")</f>
        <v>F2-a1(t)</v>
      </c>
      <c r="AB171" s="20"/>
      <c r="AC171" s="22"/>
      <c r="AD171" s="2"/>
      <c r="AE171" s="2"/>
      <c r="AF171" s="2"/>
    </row>
    <row r="172" spans="1:32" ht="15.6">
      <c r="A172" s="36" t="str">
        <f ca="1">IFERROR(__xludf.DUMMYFUNCTION("""COMPUTED_VALUE"""),"電芯通過國際認證")</f>
        <v>電芯通過國際認證</v>
      </c>
      <c r="B172" s="10" t="b">
        <f ca="1">IFERROR(__xludf.DUMMYFUNCTION("""COMPUTED_VALUE"""),FALSE)</f>
        <v>0</v>
      </c>
      <c r="C172" s="11" t="str">
        <f ca="1">IFERROR(__xludf.DUMMYFUNCTION("""COMPUTED_VALUE"""),"取得 UL 1642 認證證書")</f>
        <v>取得 UL 1642 認證證書</v>
      </c>
      <c r="D172" s="33">
        <f ca="1">IFERROR(__xludf.DUMMYFUNCTION("""COMPUTED_VALUE"""),9)</f>
        <v>9</v>
      </c>
      <c r="E172" s="35">
        <f ca="1">IFERROR(__xludf.DUMMYFUNCTION("""COMPUTED_VALUE"""),0.6)</f>
        <v>0.6</v>
      </c>
      <c r="F172" s="38">
        <f ca="1">IFERROR(__xludf.DUMMYFUNCTION("""COMPUTED_VALUE"""),0.884)</f>
        <v>0.88400000000000001</v>
      </c>
      <c r="G172" s="38">
        <f ca="1">IFERROR(__xludf.DUMMYFUNCTION("""COMPUTED_VALUE"""),0.115999999999999)</f>
        <v>0.11599999999999901</v>
      </c>
      <c r="H172" s="6"/>
      <c r="I172" s="11" t="str">
        <f ca="1">IFERROR(__xludf.DUMMYFUNCTION("""COMPUTED_VALUE"""),"取得 UL 1642 認證證書")</f>
        <v>取得 UL 1642 認證證書</v>
      </c>
      <c r="J172" s="12">
        <f ca="1">IFERROR(__xludf.DUMMYFUNCTION("""COMPUTED_VALUE"""),8.6)</f>
        <v>8.6</v>
      </c>
      <c r="K172" s="13" t="b">
        <f ca="1">IFERROR(__xludf.DUMMYFUNCTION("""COMPUTED_VALUE"""),TRUE)</f>
        <v>1</v>
      </c>
      <c r="L172" s="33">
        <f ca="1">IFERROR(__xludf.DUMMYFUNCTION("""COMPUTED_VALUE"""),9.2)</f>
        <v>9.1999999999999993</v>
      </c>
      <c r="M172" s="13" t="b">
        <f ca="1">IFERROR(__xludf.DUMMYFUNCTION("""COMPUTED_VALUE"""),FALSE)</f>
        <v>0</v>
      </c>
      <c r="N172" s="33">
        <f ca="1">IFERROR(__xludf.DUMMYFUNCTION("""COMPUTED_VALUE"""),7.6)</f>
        <v>7.6</v>
      </c>
      <c r="O172" s="13" t="b">
        <f ca="1">IFERROR(__xludf.DUMMYFUNCTION("""COMPUTED_VALUE"""),TRUE)</f>
        <v>1</v>
      </c>
      <c r="P172" s="33">
        <f ca="1">IFERROR(__xludf.DUMMYFUNCTION("""COMPUTED_VALUE"""),9)</f>
        <v>9</v>
      </c>
      <c r="Q172" s="13" t="b">
        <f ca="1">IFERROR(__xludf.DUMMYFUNCTION("""COMPUTED_VALUE"""),FALSE)</f>
        <v>0</v>
      </c>
      <c r="R172" s="33">
        <f ca="1">IFERROR(__xludf.DUMMYFUNCTION("""COMPUTED_VALUE"""),9)</f>
        <v>9</v>
      </c>
      <c r="S172" s="13" t="b">
        <f ca="1">IFERROR(__xludf.DUMMYFUNCTION("""COMPUTED_VALUE"""),TRUE)</f>
        <v>1</v>
      </c>
      <c r="T172" s="33">
        <f ca="1">IFERROR(__xludf.DUMMYFUNCTION("""COMPUTED_VALUE"""),9)</f>
        <v>9</v>
      </c>
      <c r="U172" s="13" t="b">
        <f ca="1">IFERROR(__xludf.DUMMYFUNCTION("""COMPUTED_VALUE"""),TRUE)</f>
        <v>1</v>
      </c>
      <c r="V172" s="33">
        <f ca="1">IFERROR(__xludf.DUMMYFUNCTION("""COMPUTED_VALUE"""),8.6)</f>
        <v>8.6</v>
      </c>
      <c r="W172" s="13" t="b">
        <f ca="1">IFERROR(__xludf.DUMMYFUNCTION("""COMPUTED_VALUE"""),FALSE)</f>
        <v>0</v>
      </c>
      <c r="X172" s="33">
        <f ca="1">IFERROR(__xludf.DUMMYFUNCTION("""COMPUTED_VALUE"""),8.6)</f>
        <v>8.6</v>
      </c>
      <c r="Y172" s="13" t="b">
        <f ca="1">IFERROR(__xludf.DUMMYFUNCTION("""COMPUTED_VALUE"""),FALSE)</f>
        <v>0</v>
      </c>
      <c r="Z172" s="33">
        <f ca="1">IFERROR(__xludf.DUMMYFUNCTION("""COMPUTED_VALUE"""),8.6)</f>
        <v>8.6</v>
      </c>
      <c r="AA172" s="37">
        <f ca="1">IFERROR(__xludf.DUMMYFUNCTION("""COMPUTED_VALUE"""),0.110199999999999)</f>
        <v>0.11019999999999899</v>
      </c>
      <c r="AB172" s="37">
        <f ca="1">IFERROR(__xludf.DUMMYFUNCTION("""COMPUTED_VALUE"""),0.115999999999999)</f>
        <v>0.11599999999999901</v>
      </c>
      <c r="AC172" s="37">
        <f ca="1">IFERROR(__xludf.DUMMYFUNCTION("""COMPUTED_VALUE"""),0.121799999999999)</f>
        <v>0.12179999999999901</v>
      </c>
      <c r="AD172" s="2"/>
      <c r="AE172" s="2"/>
      <c r="AF172" s="2"/>
    </row>
    <row r="173" spans="1:32" ht="15.6">
      <c r="A173" s="34"/>
      <c r="B173" s="10" t="b">
        <f ca="1">IFERROR(__xludf.DUMMYFUNCTION("""COMPUTED_VALUE"""),TRUE)</f>
        <v>1</v>
      </c>
      <c r="C173" s="11" t="str">
        <f ca="1">IFERROR(__xludf.DUMMYFUNCTION("""COMPUTED_VALUE"""),"取得 UL 1973 認證證書")</f>
        <v>取得 UL 1973 認證證書</v>
      </c>
      <c r="D173" s="34"/>
      <c r="E173" s="34"/>
      <c r="F173" s="34"/>
      <c r="G173" s="34"/>
      <c r="H173" s="6"/>
      <c r="I173" s="11" t="str">
        <f ca="1">IFERROR(__xludf.DUMMYFUNCTION("""COMPUTED_VALUE"""),"取得 UL 1973 認證證書")</f>
        <v>取得 UL 1973 認證證書</v>
      </c>
      <c r="J173" s="12">
        <f ca="1">IFERROR(__xludf.DUMMYFUNCTION("""COMPUTED_VALUE"""),8.6)</f>
        <v>8.6</v>
      </c>
      <c r="K173" s="14" t="b">
        <f ca="1">IFERROR(__xludf.DUMMYFUNCTION("""COMPUTED_VALUE"""),TRUE)</f>
        <v>1</v>
      </c>
      <c r="L173" s="34"/>
      <c r="M173" s="14" t="b">
        <f ca="1">IFERROR(__xludf.DUMMYFUNCTION("""COMPUTED_VALUE"""),FALSE)</f>
        <v>0</v>
      </c>
      <c r="N173" s="34"/>
      <c r="O173" s="14" t="b">
        <f ca="1">IFERROR(__xludf.DUMMYFUNCTION("""COMPUTED_VALUE"""),TRUE)</f>
        <v>1</v>
      </c>
      <c r="P173" s="34"/>
      <c r="Q173" s="14" t="b">
        <f ca="1">IFERROR(__xludf.DUMMYFUNCTION("""COMPUTED_VALUE"""),TRUE)</f>
        <v>1</v>
      </c>
      <c r="R173" s="34"/>
      <c r="S173" s="14" t="b">
        <f ca="1">IFERROR(__xludf.DUMMYFUNCTION("""COMPUTED_VALUE"""),FALSE)</f>
        <v>0</v>
      </c>
      <c r="T173" s="34"/>
      <c r="U173" s="14" t="b">
        <f ca="1">IFERROR(__xludf.DUMMYFUNCTION("""COMPUTED_VALUE"""),FALSE)</f>
        <v>0</v>
      </c>
      <c r="V173" s="34"/>
      <c r="W173" s="14" t="b">
        <f ca="1">IFERROR(__xludf.DUMMYFUNCTION("""COMPUTED_VALUE"""),TRUE)</f>
        <v>1</v>
      </c>
      <c r="X173" s="34"/>
      <c r="Y173" s="14" t="b">
        <f ca="1">IFERROR(__xludf.DUMMYFUNCTION("""COMPUTED_VALUE"""),FALSE)</f>
        <v>0</v>
      </c>
      <c r="Z173" s="34"/>
      <c r="AA173" s="34"/>
      <c r="AB173" s="34"/>
      <c r="AC173" s="34"/>
      <c r="AD173" s="2"/>
      <c r="AE173" s="2"/>
      <c r="AF173" s="2"/>
    </row>
    <row r="174" spans="1:32" ht="15.6">
      <c r="A174" s="27"/>
      <c r="B174" s="10" t="b">
        <f ca="1">IFERROR(__xludf.DUMMYFUNCTION("""COMPUTED_VALUE"""),TRUE)</f>
        <v>1</v>
      </c>
      <c r="C174" s="11" t="str">
        <f ca="1">IFERROR(__xludf.DUMMYFUNCTION("""COMPUTED_VALUE"""),"取得 CNS 62619 認證證書")</f>
        <v>取得 CNS 62619 認證證書</v>
      </c>
      <c r="D174" s="27"/>
      <c r="E174" s="27"/>
      <c r="F174" s="34"/>
      <c r="G174" s="34"/>
      <c r="H174" s="6"/>
      <c r="I174" s="11" t="str">
        <f ca="1">IFERROR(__xludf.DUMMYFUNCTION("""COMPUTED_VALUE"""),"取得 CNS 62619 認證證書")</f>
        <v>取得 CNS 62619 認證證書</v>
      </c>
      <c r="J174" s="12">
        <f ca="1">IFERROR(__xludf.DUMMYFUNCTION("""COMPUTED_VALUE"""),8.6)</f>
        <v>8.6</v>
      </c>
      <c r="K174" s="13" t="b">
        <f ca="1">IFERROR(__xludf.DUMMYFUNCTION("""COMPUTED_VALUE"""),TRUE)</f>
        <v>1</v>
      </c>
      <c r="L174" s="27"/>
      <c r="M174" s="13" t="b">
        <f ca="1">IFERROR(__xludf.DUMMYFUNCTION("""COMPUTED_VALUE"""),FALSE)</f>
        <v>0</v>
      </c>
      <c r="N174" s="27"/>
      <c r="O174" s="13" t="b">
        <f ca="1">IFERROR(__xludf.DUMMYFUNCTION("""COMPUTED_VALUE"""),FALSE)</f>
        <v>0</v>
      </c>
      <c r="P174" s="27"/>
      <c r="Q174" s="13" t="b">
        <f ca="1">IFERROR(__xludf.DUMMYFUNCTION("""COMPUTED_VALUE"""),TRUE)</f>
        <v>1</v>
      </c>
      <c r="R174" s="27"/>
      <c r="S174" s="13" t="b">
        <f ca="1">IFERROR(__xludf.DUMMYFUNCTION("""COMPUTED_VALUE"""),TRUE)</f>
        <v>1</v>
      </c>
      <c r="T174" s="27"/>
      <c r="U174" s="13" t="b">
        <f ca="1">IFERROR(__xludf.DUMMYFUNCTION("""COMPUTED_VALUE"""),FALSE)</f>
        <v>0</v>
      </c>
      <c r="V174" s="27"/>
      <c r="W174" s="13" t="b">
        <f ca="1">IFERROR(__xludf.DUMMYFUNCTION("""COMPUTED_VALUE"""),FALSE)</f>
        <v>0</v>
      </c>
      <c r="X174" s="27"/>
      <c r="Y174" s="13" t="b">
        <f ca="1">IFERROR(__xludf.DUMMYFUNCTION("""COMPUTED_VALUE"""),TRUE)</f>
        <v>1</v>
      </c>
      <c r="Z174" s="27"/>
      <c r="AA174" s="34"/>
      <c r="AB174" s="34"/>
      <c r="AC174" s="34"/>
      <c r="AD174" s="2"/>
      <c r="AE174" s="2"/>
      <c r="AF174" s="2"/>
    </row>
    <row r="175" spans="1:32" ht="15.6">
      <c r="A175" s="26" t="str">
        <f ca="1">IFERROR(__xludf.DUMMYFUNCTION("""COMPUTED_VALUE"""),"電芯依使用週期進行汰換")</f>
        <v>電芯依使用週期進行汰換</v>
      </c>
      <c r="B175" s="28" t="str">
        <f ca="1">IFERROR(__xludf.DUMMYFUNCTION("""COMPUTED_VALUE"""),"電芯依原廠建議值進行汰換")</f>
        <v>電芯依原廠建議值進行汰換</v>
      </c>
      <c r="C175" s="29"/>
      <c r="D175" s="32">
        <f ca="1">IFERROR(__xludf.DUMMYFUNCTION("""COMPUTED_VALUE"""),8.6)</f>
        <v>8.6</v>
      </c>
      <c r="E175" s="39">
        <f ca="1">IFERROR(__xludf.DUMMYFUNCTION("""COMPUTED_VALUE"""),0.4)</f>
        <v>0.4</v>
      </c>
      <c r="F175" s="34"/>
      <c r="G175" s="34"/>
      <c r="H175" s="6"/>
      <c r="I175" s="7" t="str">
        <f ca="1">IFERROR(__xludf.DUMMYFUNCTION("""COMPUTED_VALUE"""),"電芯依檢測數據進行汰換")</f>
        <v>電芯依檢測數據進行汰換</v>
      </c>
      <c r="J175" s="8">
        <f ca="1">IFERROR(__xludf.DUMMYFUNCTION("""COMPUTED_VALUE"""),8.9)</f>
        <v>8.9</v>
      </c>
      <c r="K175" s="2"/>
      <c r="L175" s="9"/>
      <c r="M175" s="2"/>
      <c r="N175" s="9"/>
      <c r="O175" s="2"/>
      <c r="P175" s="9"/>
      <c r="Q175" s="2"/>
      <c r="R175" s="9"/>
      <c r="S175" s="2"/>
      <c r="T175" s="9"/>
      <c r="U175" s="2"/>
      <c r="V175" s="9"/>
      <c r="W175" s="2"/>
      <c r="X175" s="9"/>
      <c r="Y175" s="2"/>
      <c r="Z175" s="9"/>
      <c r="AA175" s="34"/>
      <c r="AB175" s="34"/>
      <c r="AC175" s="34"/>
      <c r="AD175" s="2"/>
      <c r="AE175" s="2"/>
      <c r="AF175" s="2"/>
    </row>
    <row r="176" spans="1:32" ht="15.6">
      <c r="A176" s="34"/>
      <c r="B176" s="40"/>
      <c r="C176" s="41"/>
      <c r="D176" s="34"/>
      <c r="E176" s="34"/>
      <c r="F176" s="34"/>
      <c r="G176" s="34"/>
      <c r="H176" s="6"/>
      <c r="I176" s="7" t="str">
        <f ca="1">IFERROR(__xludf.DUMMYFUNCTION("""COMPUTED_VALUE"""),"電芯依原廠建議值進行汰換")</f>
        <v>電芯依原廠建議值進行汰換</v>
      </c>
      <c r="J176" s="8">
        <f ca="1">IFERROR(__xludf.DUMMYFUNCTION("""COMPUTED_VALUE"""),8.6)</f>
        <v>8.6</v>
      </c>
      <c r="K176" s="2"/>
      <c r="L176" s="9"/>
      <c r="M176" s="2"/>
      <c r="N176" s="9"/>
      <c r="O176" s="2"/>
      <c r="P176" s="9"/>
      <c r="Q176" s="2"/>
      <c r="R176" s="9"/>
      <c r="S176" s="2"/>
      <c r="T176" s="9"/>
      <c r="U176" s="2"/>
      <c r="V176" s="9"/>
      <c r="W176" s="2"/>
      <c r="X176" s="9"/>
      <c r="Y176" s="2"/>
      <c r="Z176" s="9"/>
      <c r="AA176" s="34"/>
      <c r="AB176" s="34"/>
      <c r="AC176" s="34"/>
      <c r="AD176" s="2"/>
      <c r="AE176" s="2"/>
      <c r="AF176" s="2"/>
    </row>
    <row r="177" spans="1:32" ht="15.6">
      <c r="A177" s="27"/>
      <c r="B177" s="30"/>
      <c r="C177" s="31"/>
      <c r="D177" s="27"/>
      <c r="E177" s="27"/>
      <c r="F177" s="27"/>
      <c r="G177" s="27"/>
      <c r="H177" s="6"/>
      <c r="I177" s="7" t="str">
        <f ca="1">IFERROR(__xludf.DUMMYFUNCTION("""COMPUTED_VALUE"""),"電芯未落實定期汰換計畫")</f>
        <v>電芯未落實定期汰換計畫</v>
      </c>
      <c r="J177" s="8">
        <f ca="1">IFERROR(__xludf.DUMMYFUNCTION("""COMPUTED_VALUE"""),7.8)</f>
        <v>7.8</v>
      </c>
      <c r="K177" s="2"/>
      <c r="L177" s="9"/>
      <c r="M177" s="2"/>
      <c r="N177" s="9"/>
      <c r="O177" s="2"/>
      <c r="P177" s="9"/>
      <c r="Q177" s="2"/>
      <c r="R177" s="9"/>
      <c r="S177" s="2"/>
      <c r="T177" s="9"/>
      <c r="U177" s="2"/>
      <c r="V177" s="9"/>
      <c r="W177" s="2"/>
      <c r="X177" s="9"/>
      <c r="Y177" s="2"/>
      <c r="Z177" s="9"/>
      <c r="AA177" s="27"/>
      <c r="AB177" s="27"/>
      <c r="AC177" s="27"/>
      <c r="AD177" s="2"/>
      <c r="AE177" s="2"/>
      <c r="AF177" s="2"/>
    </row>
    <row r="178" spans="1:32" ht="15.6">
      <c r="A178" s="19" t="str">
        <f ca="1">IFERROR(__xludf.DUMMYFUNCTION("IMPORTRANGE(""https://docs.google.com/spreadsheets/d/1g3k-_bsDSgGx-LrtXVu_8pmZey8G_3GZEmdJXJYtcxo/edit?gid=1523872801#gid=1523872801"",""'F2-a2'!A1:AC8"")"),"電池散熱裝置故障 F2-a2(t)")</f>
        <v>電池散熱裝置故障 F2-a2(t)</v>
      </c>
      <c r="B178" s="20"/>
      <c r="C178" s="20"/>
      <c r="D178" s="20"/>
      <c r="E178" s="20"/>
      <c r="F178" s="20"/>
      <c r="G178" s="20"/>
      <c r="H178" s="1"/>
      <c r="I178" s="21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2"/>
      <c r="AA178" s="23"/>
      <c r="AB178" s="24"/>
      <c r="AC178" s="24"/>
      <c r="AD178" s="2"/>
      <c r="AE178" s="2"/>
      <c r="AF178" s="2"/>
    </row>
    <row r="179" spans="1:32" ht="46.8">
      <c r="A179" s="3" t="str">
        <f ca="1">IFERROR(__xludf.DUMMYFUNCTION("""COMPUTED_VALUE"""),"確保可靠度的手段")</f>
        <v>確保可靠度的手段</v>
      </c>
      <c r="B179" s="25" t="str">
        <f ca="1">IFERROR(__xludf.DUMMYFUNCTION("""COMPUTED_VALUE"""),"確證方式")</f>
        <v>確證方式</v>
      </c>
      <c r="C179" s="22"/>
      <c r="D179" s="3" t="str">
        <f ca="1">IFERROR(__xludf.DUMMYFUNCTION("""COMPUTED_VALUE"""),"得分")</f>
        <v>得分</v>
      </c>
      <c r="E179" s="3" t="str">
        <f ca="1">IFERROR(__xludf.DUMMYFUNCTION("""COMPUTED_VALUE"""),"權重")</f>
        <v>權重</v>
      </c>
      <c r="F179" s="3" t="str">
        <f ca="1">IFERROR(__xludf.DUMMYFUNCTION("""COMPUTED_VALUE"""),"可靠度
 概率")</f>
        <v>可靠度
 概率</v>
      </c>
      <c r="G179" s="3" t="str">
        <f ca="1">IFERROR(__xludf.DUMMYFUNCTION("""COMPUTED_VALUE"""),"F2-a2(t)")</f>
        <v>F2-a2(t)</v>
      </c>
      <c r="H179" s="4"/>
      <c r="I179" s="5" t="str">
        <f ca="1">IFERROR(__xludf.DUMMYFUNCTION("""COMPUTED_VALUE"""),"調查問項")</f>
        <v>調查問項</v>
      </c>
      <c r="J179" s="5" t="str">
        <f ca="1">IFERROR(__xludf.DUMMYFUNCTION("""COMPUTED_VALUE"""),"分項分數")</f>
        <v>分項分數</v>
      </c>
      <c r="K179" s="5" t="str">
        <f ca="1">IFERROR(__xludf.DUMMYFUNCTION("""COMPUTED_VALUE"""),"勾選組合")</f>
        <v>勾選組合</v>
      </c>
      <c r="L179" s="5" t="str">
        <f ca="1">IFERROR(__xludf.DUMMYFUNCTION("""COMPUTED_VALUE"""),"得分")</f>
        <v>得分</v>
      </c>
      <c r="M179" s="5" t="str">
        <f ca="1">IFERROR(__xludf.DUMMYFUNCTION("""COMPUTED_VALUE"""),"勾選組合")</f>
        <v>勾選組合</v>
      </c>
      <c r="N179" s="5" t="str">
        <f ca="1">IFERROR(__xludf.DUMMYFUNCTION("""COMPUTED_VALUE"""),"得分")</f>
        <v>得分</v>
      </c>
      <c r="O179" s="5" t="str">
        <f ca="1">IFERROR(__xludf.DUMMYFUNCTION("""COMPUTED_VALUE"""),"勾選組合")</f>
        <v>勾選組合</v>
      </c>
      <c r="P179" s="5" t="str">
        <f ca="1">IFERROR(__xludf.DUMMYFUNCTION("""COMPUTED_VALUE"""),"得分")</f>
        <v>得分</v>
      </c>
      <c r="Q179" s="5" t="str">
        <f ca="1">IFERROR(__xludf.DUMMYFUNCTION("""COMPUTED_VALUE"""),"勾選組合")</f>
        <v>勾選組合</v>
      </c>
      <c r="R179" s="5" t="str">
        <f ca="1">IFERROR(__xludf.DUMMYFUNCTION("""COMPUTED_VALUE"""),"得分")</f>
        <v>得分</v>
      </c>
      <c r="S179" s="5" t="str">
        <f ca="1">IFERROR(__xludf.DUMMYFUNCTION("""COMPUTED_VALUE"""),"勾選組合")</f>
        <v>勾選組合</v>
      </c>
      <c r="T179" s="5" t="str">
        <f ca="1">IFERROR(__xludf.DUMMYFUNCTION("""COMPUTED_VALUE"""),"得分")</f>
        <v>得分</v>
      </c>
      <c r="U179" s="5" t="str">
        <f ca="1">IFERROR(__xludf.DUMMYFUNCTION("""COMPUTED_VALUE"""),"勾選組合")</f>
        <v>勾選組合</v>
      </c>
      <c r="V179" s="5" t="str">
        <f ca="1">IFERROR(__xludf.DUMMYFUNCTION("""COMPUTED_VALUE"""),"得分")</f>
        <v>得分</v>
      </c>
      <c r="W179" s="5" t="str">
        <f ca="1">IFERROR(__xludf.DUMMYFUNCTION("""COMPUTED_VALUE"""),"勾選組合")</f>
        <v>勾選組合</v>
      </c>
      <c r="X179" s="5" t="str">
        <f ca="1">IFERROR(__xludf.DUMMYFUNCTION("""COMPUTED_VALUE"""),"得分")</f>
        <v>得分</v>
      </c>
      <c r="Y179" s="5" t="str">
        <f ca="1">IFERROR(__xludf.DUMMYFUNCTION("""COMPUTED_VALUE"""),"勾選組合")</f>
        <v>勾選組合</v>
      </c>
      <c r="Z179" s="5" t="str">
        <f ca="1">IFERROR(__xludf.DUMMYFUNCTION("""COMPUTED_VALUE"""),"得分")</f>
        <v>得分</v>
      </c>
      <c r="AA179" s="25" t="str">
        <f ca="1">IFERROR(__xludf.DUMMYFUNCTION("""COMPUTED_VALUE"""),"F2-a2(t)")</f>
        <v>F2-a2(t)</v>
      </c>
      <c r="AB179" s="20"/>
      <c r="AC179" s="22"/>
      <c r="AD179" s="2"/>
      <c r="AE179" s="2"/>
      <c r="AF179" s="2"/>
    </row>
    <row r="180" spans="1:32" ht="31.2">
      <c r="A180" s="36" t="str">
        <f ca="1">IFERROR(__xludf.DUMMYFUNCTION("""COMPUTED_VALUE"""),"電池散熱裝置通過認證")</f>
        <v>電池散熱裝置通過認證</v>
      </c>
      <c r="B180" s="10" t="b">
        <f ca="1">IFERROR(__xludf.DUMMYFUNCTION("""COMPUTED_VALUE"""),TRUE)</f>
        <v>1</v>
      </c>
      <c r="C180" s="11" t="str">
        <f ca="1">IFERROR(__xludf.DUMMYFUNCTION("""COMPUTED_VALUE"""),"散熱裝置取得國際標準認證證書")</f>
        <v>散熱裝置取得國際標準認證證書</v>
      </c>
      <c r="D180" s="33">
        <f ca="1">IFERROR(__xludf.DUMMYFUNCTION("""COMPUTED_VALUE"""),9)</f>
        <v>9</v>
      </c>
      <c r="E180" s="35">
        <f ca="1">IFERROR(__xludf.DUMMYFUNCTION("""COMPUTED_VALUE"""),0.6)</f>
        <v>0.6</v>
      </c>
      <c r="F180" s="38">
        <f ca="1">IFERROR(__xludf.DUMMYFUNCTION("""COMPUTED_VALUE"""),0.86)</f>
        <v>0.86</v>
      </c>
      <c r="G180" s="38">
        <f ca="1">IFERROR(__xludf.DUMMYFUNCTION("""COMPUTED_VALUE"""),0.14)</f>
        <v>0.14000000000000001</v>
      </c>
      <c r="H180" s="6"/>
      <c r="I180" s="11" t="str">
        <f ca="1">IFERROR(__xludf.DUMMYFUNCTION("""COMPUTED_VALUE"""),"散熱裝置取得國際標準認證證書")</f>
        <v>散熱裝置取得國際標準認證證書</v>
      </c>
      <c r="J180" s="12">
        <f ca="1">IFERROR(__xludf.DUMMYFUNCTION("""COMPUTED_VALUE"""),8.5)</f>
        <v>8.5</v>
      </c>
      <c r="K180" s="13" t="b">
        <f ca="1">IFERROR(__xludf.DUMMYFUNCTION("""COMPUTED_VALUE"""),TRUE)</f>
        <v>1</v>
      </c>
      <c r="L180" s="33">
        <f ca="1">IFERROR(__xludf.DUMMYFUNCTION("""COMPUTED_VALUE"""),9.2)</f>
        <v>9.1999999999999993</v>
      </c>
      <c r="M180" s="13" t="b">
        <f ca="1">IFERROR(__xludf.DUMMYFUNCTION("""COMPUTED_VALUE"""),FALSE)</f>
        <v>0</v>
      </c>
      <c r="N180" s="33">
        <f ca="1">IFERROR(__xludf.DUMMYFUNCTION("""COMPUTED_VALUE"""),7.6)</f>
        <v>7.6</v>
      </c>
      <c r="O180" s="13" t="b">
        <f ca="1">IFERROR(__xludf.DUMMYFUNCTION("""COMPUTED_VALUE"""),TRUE)</f>
        <v>1</v>
      </c>
      <c r="P180" s="33">
        <f ca="1">IFERROR(__xludf.DUMMYFUNCTION("""COMPUTED_VALUE"""),9)</f>
        <v>9</v>
      </c>
      <c r="Q180" s="13" t="b">
        <f ca="1">IFERROR(__xludf.DUMMYFUNCTION("""COMPUTED_VALUE"""),FALSE)</f>
        <v>0</v>
      </c>
      <c r="R180" s="33">
        <f ca="1">IFERROR(__xludf.DUMMYFUNCTION("""COMPUTED_VALUE"""),9)</f>
        <v>9</v>
      </c>
      <c r="S180" s="13" t="b">
        <f ca="1">IFERROR(__xludf.DUMMYFUNCTION("""COMPUTED_VALUE"""),TRUE)</f>
        <v>1</v>
      </c>
      <c r="T180" s="33">
        <f ca="1">IFERROR(__xludf.DUMMYFUNCTION("""COMPUTED_VALUE"""),9)</f>
        <v>9</v>
      </c>
      <c r="U180" s="13" t="b">
        <f ca="1">IFERROR(__xludf.DUMMYFUNCTION("""COMPUTED_VALUE"""),TRUE)</f>
        <v>1</v>
      </c>
      <c r="V180" s="33">
        <f ca="1">IFERROR(__xludf.DUMMYFUNCTION("""COMPUTED_VALUE"""),8.5)</f>
        <v>8.5</v>
      </c>
      <c r="W180" s="13" t="b">
        <f ca="1">IFERROR(__xludf.DUMMYFUNCTION("""COMPUTED_VALUE"""),FALSE)</f>
        <v>0</v>
      </c>
      <c r="X180" s="33">
        <f ca="1">IFERROR(__xludf.DUMMYFUNCTION("""COMPUTED_VALUE"""),8.5)</f>
        <v>8.5</v>
      </c>
      <c r="Y180" s="13" t="b">
        <f ca="1">IFERROR(__xludf.DUMMYFUNCTION("""COMPUTED_VALUE"""),FALSE)</f>
        <v>0</v>
      </c>
      <c r="Z180" s="33">
        <f ca="1">IFERROR(__xludf.DUMMYFUNCTION("""COMPUTED_VALUE"""),8.7)</f>
        <v>8.6999999999999993</v>
      </c>
      <c r="AA180" s="37">
        <f ca="1">IFERROR(__xludf.DUMMYFUNCTION("""COMPUTED_VALUE"""),0.133)</f>
        <v>0.13300000000000001</v>
      </c>
      <c r="AB180" s="37">
        <f ca="1">IFERROR(__xludf.DUMMYFUNCTION("""COMPUTED_VALUE"""),0.14)</f>
        <v>0.14000000000000001</v>
      </c>
      <c r="AC180" s="37">
        <f ca="1">IFERROR(__xludf.DUMMYFUNCTION("""COMPUTED_VALUE"""),0.147)</f>
        <v>0.14699999999999999</v>
      </c>
      <c r="AD180" s="2"/>
      <c r="AE180" s="2"/>
      <c r="AF180" s="2"/>
    </row>
    <row r="181" spans="1:32" ht="31.2">
      <c r="A181" s="34"/>
      <c r="B181" s="10" t="b">
        <f ca="1">IFERROR(__xludf.DUMMYFUNCTION("""COMPUTED_VALUE"""),TRUE)</f>
        <v>1</v>
      </c>
      <c r="C181" s="11" t="str">
        <f ca="1">IFERROR(__xludf.DUMMYFUNCTION("""COMPUTED_VALUE"""),"EMS 可偵測散熱裝置的異常情況")</f>
        <v>EMS 可偵測散熱裝置的異常情況</v>
      </c>
      <c r="D181" s="34"/>
      <c r="E181" s="34"/>
      <c r="F181" s="34"/>
      <c r="G181" s="34"/>
      <c r="H181" s="6"/>
      <c r="I181" s="11" t="str">
        <f ca="1">IFERROR(__xludf.DUMMYFUNCTION("""COMPUTED_VALUE"""),"EMS 可偵測散熱裝置的異常情況")</f>
        <v>EMS 可偵測散熱裝置的異常情況</v>
      </c>
      <c r="J181" s="12">
        <f ca="1">IFERROR(__xludf.DUMMYFUNCTION("""COMPUTED_VALUE"""),8.5)</f>
        <v>8.5</v>
      </c>
      <c r="K181" s="14" t="b">
        <f ca="1">IFERROR(__xludf.DUMMYFUNCTION("""COMPUTED_VALUE"""),TRUE)</f>
        <v>1</v>
      </c>
      <c r="L181" s="34"/>
      <c r="M181" s="14" t="b">
        <f ca="1">IFERROR(__xludf.DUMMYFUNCTION("""COMPUTED_VALUE"""),FALSE)</f>
        <v>0</v>
      </c>
      <c r="N181" s="34"/>
      <c r="O181" s="14" t="b">
        <f ca="1">IFERROR(__xludf.DUMMYFUNCTION("""COMPUTED_VALUE"""),TRUE)</f>
        <v>1</v>
      </c>
      <c r="P181" s="34"/>
      <c r="Q181" s="14" t="b">
        <f ca="1">IFERROR(__xludf.DUMMYFUNCTION("""COMPUTED_VALUE"""),TRUE)</f>
        <v>1</v>
      </c>
      <c r="R181" s="34"/>
      <c r="S181" s="14" t="b">
        <f ca="1">IFERROR(__xludf.DUMMYFUNCTION("""COMPUTED_VALUE"""),FALSE)</f>
        <v>0</v>
      </c>
      <c r="T181" s="34"/>
      <c r="U181" s="14" t="b">
        <f ca="1">IFERROR(__xludf.DUMMYFUNCTION("""COMPUTED_VALUE"""),FALSE)</f>
        <v>0</v>
      </c>
      <c r="V181" s="34"/>
      <c r="W181" s="14" t="b">
        <f ca="1">IFERROR(__xludf.DUMMYFUNCTION("""COMPUTED_VALUE"""),TRUE)</f>
        <v>1</v>
      </c>
      <c r="X181" s="34"/>
      <c r="Y181" s="14" t="b">
        <f ca="1">IFERROR(__xludf.DUMMYFUNCTION("""COMPUTED_VALUE"""),FALSE)</f>
        <v>0</v>
      </c>
      <c r="Z181" s="34"/>
      <c r="AA181" s="34"/>
      <c r="AB181" s="34"/>
      <c r="AC181" s="34"/>
      <c r="AD181" s="2"/>
      <c r="AE181" s="2"/>
      <c r="AF181" s="2"/>
    </row>
    <row r="182" spans="1:32" ht="15.6">
      <c r="A182" s="27"/>
      <c r="B182" s="10" t="b">
        <f ca="1">IFERROR(__xludf.DUMMYFUNCTION("""COMPUTED_VALUE"""),FALSE)</f>
        <v>0</v>
      </c>
      <c r="C182" s="11" t="str">
        <f ca="1">IFERROR(__xludf.DUMMYFUNCTION("""COMPUTED_VALUE"""),"散熱系統採取雙備援設計")</f>
        <v>散熱系統採取雙備援設計</v>
      </c>
      <c r="D182" s="27"/>
      <c r="E182" s="27"/>
      <c r="F182" s="34"/>
      <c r="G182" s="34"/>
      <c r="H182" s="6"/>
      <c r="I182" s="11" t="str">
        <f ca="1">IFERROR(__xludf.DUMMYFUNCTION("""COMPUTED_VALUE"""),"散熱系統採取雙備援設計")</f>
        <v>散熱系統採取雙備援設計</v>
      </c>
      <c r="J182" s="12">
        <f ca="1">IFERROR(__xludf.DUMMYFUNCTION("""COMPUTED_VALUE"""),8.7)</f>
        <v>8.6999999999999993</v>
      </c>
      <c r="K182" s="13" t="b">
        <f ca="1">IFERROR(__xludf.DUMMYFUNCTION("""COMPUTED_VALUE"""),TRUE)</f>
        <v>1</v>
      </c>
      <c r="L182" s="27"/>
      <c r="M182" s="13" t="b">
        <f ca="1">IFERROR(__xludf.DUMMYFUNCTION("""COMPUTED_VALUE"""),FALSE)</f>
        <v>0</v>
      </c>
      <c r="N182" s="27"/>
      <c r="O182" s="13" t="b">
        <f ca="1">IFERROR(__xludf.DUMMYFUNCTION("""COMPUTED_VALUE"""),FALSE)</f>
        <v>0</v>
      </c>
      <c r="P182" s="27"/>
      <c r="Q182" s="13" t="b">
        <f ca="1">IFERROR(__xludf.DUMMYFUNCTION("""COMPUTED_VALUE"""),TRUE)</f>
        <v>1</v>
      </c>
      <c r="R182" s="27"/>
      <c r="S182" s="13" t="b">
        <f ca="1">IFERROR(__xludf.DUMMYFUNCTION("""COMPUTED_VALUE"""),TRUE)</f>
        <v>1</v>
      </c>
      <c r="T182" s="27"/>
      <c r="U182" s="13" t="b">
        <f ca="1">IFERROR(__xludf.DUMMYFUNCTION("""COMPUTED_VALUE"""),FALSE)</f>
        <v>0</v>
      </c>
      <c r="V182" s="27"/>
      <c r="W182" s="13" t="b">
        <f ca="1">IFERROR(__xludf.DUMMYFUNCTION("""COMPUTED_VALUE"""),FALSE)</f>
        <v>0</v>
      </c>
      <c r="X182" s="27"/>
      <c r="Y182" s="13" t="b">
        <f ca="1">IFERROR(__xludf.DUMMYFUNCTION("""COMPUTED_VALUE"""),TRUE)</f>
        <v>1</v>
      </c>
      <c r="Z182" s="27"/>
      <c r="AA182" s="34"/>
      <c r="AB182" s="34"/>
      <c r="AC182" s="34"/>
      <c r="AD182" s="2"/>
      <c r="AE182" s="2"/>
      <c r="AF182" s="2"/>
    </row>
    <row r="183" spans="1:32" ht="15.6">
      <c r="A183" s="26" t="str">
        <f ca="1">IFERROR(__xludf.DUMMYFUNCTION("""COMPUTED_VALUE"""),"電池散熱裝置定期檢修")</f>
        <v>電池散熱裝置定期檢修</v>
      </c>
      <c r="B183" s="28" t="str">
        <f ca="1">IFERROR(__xludf.DUMMYFUNCTION("""COMPUTED_VALUE"""),"電池散熱裝置二年檢修1次")</f>
        <v>電池散熱裝置二年檢修1次</v>
      </c>
      <c r="C183" s="29"/>
      <c r="D183" s="32">
        <f ca="1">IFERROR(__xludf.DUMMYFUNCTION("""COMPUTED_VALUE"""),8)</f>
        <v>8</v>
      </c>
      <c r="E183" s="39">
        <f ca="1">IFERROR(__xludf.DUMMYFUNCTION("""COMPUTED_VALUE"""),0.4)</f>
        <v>0.4</v>
      </c>
      <c r="F183" s="34"/>
      <c r="G183" s="34"/>
      <c r="H183" s="6"/>
      <c r="I183" s="7" t="str">
        <f ca="1">IFERROR(__xludf.DUMMYFUNCTION("""COMPUTED_VALUE"""),"電池散熱裝置一年檢修1次")</f>
        <v>電池散熱裝置一年檢修1次</v>
      </c>
      <c r="J183" s="8">
        <f ca="1">IFERROR(__xludf.DUMMYFUNCTION("""COMPUTED_VALUE"""),8.4)</f>
        <v>8.4</v>
      </c>
      <c r="K183" s="2"/>
      <c r="L183" s="9"/>
      <c r="M183" s="2"/>
      <c r="N183" s="9"/>
      <c r="O183" s="2"/>
      <c r="P183" s="9"/>
      <c r="Q183" s="2"/>
      <c r="R183" s="9"/>
      <c r="S183" s="2"/>
      <c r="T183" s="9"/>
      <c r="U183" s="2"/>
      <c r="V183" s="9"/>
      <c r="W183" s="2"/>
      <c r="X183" s="9"/>
      <c r="Y183" s="2"/>
      <c r="Z183" s="9"/>
      <c r="AA183" s="34"/>
      <c r="AB183" s="34"/>
      <c r="AC183" s="34"/>
      <c r="AD183" s="2"/>
      <c r="AE183" s="2"/>
      <c r="AF183" s="2"/>
    </row>
    <row r="184" spans="1:32" ht="15.6">
      <c r="A184" s="34"/>
      <c r="B184" s="40"/>
      <c r="C184" s="41"/>
      <c r="D184" s="34"/>
      <c r="E184" s="34"/>
      <c r="F184" s="34"/>
      <c r="G184" s="34"/>
      <c r="H184" s="6"/>
      <c r="I184" s="7" t="str">
        <f ca="1">IFERROR(__xludf.DUMMYFUNCTION("""COMPUTED_VALUE"""),"電池散熱裝置二年檢修1次")</f>
        <v>電池散熱裝置二年檢修1次</v>
      </c>
      <c r="J184" s="8">
        <f ca="1">IFERROR(__xludf.DUMMYFUNCTION("""COMPUTED_VALUE"""),8)</f>
        <v>8</v>
      </c>
      <c r="K184" s="2"/>
      <c r="L184" s="9"/>
      <c r="M184" s="2"/>
      <c r="N184" s="9"/>
      <c r="O184" s="2"/>
      <c r="P184" s="9"/>
      <c r="Q184" s="2"/>
      <c r="R184" s="9"/>
      <c r="S184" s="2"/>
      <c r="T184" s="9"/>
      <c r="U184" s="2"/>
      <c r="V184" s="9"/>
      <c r="W184" s="2"/>
      <c r="X184" s="9"/>
      <c r="Y184" s="2"/>
      <c r="Z184" s="9"/>
      <c r="AA184" s="34"/>
      <c r="AB184" s="34"/>
      <c r="AC184" s="34"/>
      <c r="AD184" s="2"/>
      <c r="AE184" s="2"/>
      <c r="AF184" s="2"/>
    </row>
    <row r="185" spans="1:32" ht="15.6">
      <c r="A185" s="27"/>
      <c r="B185" s="30"/>
      <c r="C185" s="31"/>
      <c r="D185" s="27"/>
      <c r="E185" s="27"/>
      <c r="F185" s="27"/>
      <c r="G185" s="27"/>
      <c r="H185" s="6"/>
      <c r="I185" s="7" t="str">
        <f ca="1">IFERROR(__xludf.DUMMYFUNCTION("""COMPUTED_VALUE"""),"電池散熱裝置未定期檢修")</f>
        <v>電池散熱裝置未定期檢修</v>
      </c>
      <c r="J185" s="8">
        <f ca="1">IFERROR(__xludf.DUMMYFUNCTION("""COMPUTED_VALUE"""),7.3)</f>
        <v>7.3</v>
      </c>
      <c r="K185" s="2"/>
      <c r="L185" s="9"/>
      <c r="M185" s="2"/>
      <c r="N185" s="9"/>
      <c r="O185" s="2"/>
      <c r="P185" s="9"/>
      <c r="Q185" s="2"/>
      <c r="R185" s="9"/>
      <c r="S185" s="2"/>
      <c r="T185" s="9"/>
      <c r="U185" s="2"/>
      <c r="V185" s="9"/>
      <c r="W185" s="2"/>
      <c r="X185" s="9"/>
      <c r="Y185" s="2"/>
      <c r="Z185" s="9"/>
      <c r="AA185" s="27"/>
      <c r="AB185" s="27"/>
      <c r="AC185" s="27"/>
      <c r="AD185" s="2"/>
      <c r="AE185" s="2"/>
      <c r="AF185" s="2"/>
    </row>
  </sheetData>
  <mergeCells count="580">
    <mergeCell ref="T172:T174"/>
    <mergeCell ref="V172:V174"/>
    <mergeCell ref="X172:X174"/>
    <mergeCell ref="Z172:Z174"/>
    <mergeCell ref="Z164:Z166"/>
    <mergeCell ref="I170:Z170"/>
    <mergeCell ref="AA170:AC170"/>
    <mergeCell ref="L172:L174"/>
    <mergeCell ref="N172:N174"/>
    <mergeCell ref="P172:P174"/>
    <mergeCell ref="R172:R174"/>
    <mergeCell ref="AA153:AC153"/>
    <mergeCell ref="L157:L159"/>
    <mergeCell ref="N157:N159"/>
    <mergeCell ref="P157:P159"/>
    <mergeCell ref="R157:R159"/>
    <mergeCell ref="V164:V166"/>
    <mergeCell ref="X164:X166"/>
    <mergeCell ref="I162:Z162"/>
    <mergeCell ref="AA162:AC162"/>
    <mergeCell ref="L164:L166"/>
    <mergeCell ref="N164:N166"/>
    <mergeCell ref="P164:P166"/>
    <mergeCell ref="R164:R166"/>
    <mergeCell ref="T164:T166"/>
    <mergeCell ref="L147:L149"/>
    <mergeCell ref="N147:N149"/>
    <mergeCell ref="P147:P149"/>
    <mergeCell ref="R147:R149"/>
    <mergeCell ref="T147:T149"/>
    <mergeCell ref="V147:V149"/>
    <mergeCell ref="X147:X149"/>
    <mergeCell ref="Z147:Z149"/>
    <mergeCell ref="I153:Z153"/>
    <mergeCell ref="V180:V182"/>
    <mergeCell ref="X180:X182"/>
    <mergeCell ref="I178:Z178"/>
    <mergeCell ref="AA178:AC178"/>
    <mergeCell ref="L180:L182"/>
    <mergeCell ref="N180:N182"/>
    <mergeCell ref="P180:P182"/>
    <mergeCell ref="R180:R182"/>
    <mergeCell ref="T180:T182"/>
    <mergeCell ref="Z180:Z182"/>
    <mergeCell ref="AB172:AB177"/>
    <mergeCell ref="AC172:AC177"/>
    <mergeCell ref="AA172:AA177"/>
    <mergeCell ref="AA180:AA185"/>
    <mergeCell ref="AB180:AB185"/>
    <mergeCell ref="AC180:AC185"/>
    <mergeCell ref="AC155:AC161"/>
    <mergeCell ref="AA163:AC163"/>
    <mergeCell ref="AA164:AA169"/>
    <mergeCell ref="AB164:AB169"/>
    <mergeCell ref="AC164:AC169"/>
    <mergeCell ref="AA171:AC171"/>
    <mergeCell ref="AA179:AC179"/>
    <mergeCell ref="I107:Z107"/>
    <mergeCell ref="AA107:AC107"/>
    <mergeCell ref="X109:X111"/>
    <mergeCell ref="Z109:Z111"/>
    <mergeCell ref="AA109:AA114"/>
    <mergeCell ref="AB109:AB114"/>
    <mergeCell ref="AC109:AC114"/>
    <mergeCell ref="AA116:AC116"/>
    <mergeCell ref="AA117:AA125"/>
    <mergeCell ref="AB117:AB125"/>
    <mergeCell ref="AC117:AC125"/>
    <mergeCell ref="AA88:AC88"/>
    <mergeCell ref="AA89:AC89"/>
    <mergeCell ref="AA90:AA97"/>
    <mergeCell ref="AB90:AB97"/>
    <mergeCell ref="AC90:AC97"/>
    <mergeCell ref="AA98:AC98"/>
    <mergeCell ref="AA99:AC99"/>
    <mergeCell ref="AA100:AA106"/>
    <mergeCell ref="AB100:AB106"/>
    <mergeCell ref="AC100:AC106"/>
    <mergeCell ref="AA41:AA49"/>
    <mergeCell ref="AB41:AB49"/>
    <mergeCell ref="AC41:AC49"/>
    <mergeCell ref="AA50:AC50"/>
    <mergeCell ref="AA51:AC51"/>
    <mergeCell ref="AA52:AA59"/>
    <mergeCell ref="AB52:AB59"/>
    <mergeCell ref="AB79:AB87"/>
    <mergeCell ref="AC79:AC87"/>
    <mergeCell ref="T26:T28"/>
    <mergeCell ref="V26:V28"/>
    <mergeCell ref="X26:X28"/>
    <mergeCell ref="R33:R35"/>
    <mergeCell ref="T33:T35"/>
    <mergeCell ref="Z26:Z28"/>
    <mergeCell ref="I31:Z31"/>
    <mergeCell ref="AA31:AC31"/>
    <mergeCell ref="AA32:AC32"/>
    <mergeCell ref="L33:L35"/>
    <mergeCell ref="N33:N35"/>
    <mergeCell ref="P33:P35"/>
    <mergeCell ref="T102:T104"/>
    <mergeCell ref="V102:V104"/>
    <mergeCell ref="X102:X104"/>
    <mergeCell ref="Z102:Z104"/>
    <mergeCell ref="T90:T92"/>
    <mergeCell ref="V90:V92"/>
    <mergeCell ref="I98:Z98"/>
    <mergeCell ref="L102:L104"/>
    <mergeCell ref="N102:N104"/>
    <mergeCell ref="P102:P104"/>
    <mergeCell ref="R102:R104"/>
    <mergeCell ref="X90:X92"/>
    <mergeCell ref="Z90:Z92"/>
    <mergeCell ref="N81:N82"/>
    <mergeCell ref="N83:N85"/>
    <mergeCell ref="I88:Z88"/>
    <mergeCell ref="L90:L92"/>
    <mergeCell ref="N90:N92"/>
    <mergeCell ref="P90:P92"/>
    <mergeCell ref="R90:R92"/>
    <mergeCell ref="X83:X85"/>
    <mergeCell ref="Z83:Z85"/>
    <mergeCell ref="T71:T73"/>
    <mergeCell ref="V71:V73"/>
    <mergeCell ref="I77:Z77"/>
    <mergeCell ref="L81:L82"/>
    <mergeCell ref="P81:P82"/>
    <mergeCell ref="L83:L85"/>
    <mergeCell ref="P83:P85"/>
    <mergeCell ref="V45:V47"/>
    <mergeCell ref="X45:X47"/>
    <mergeCell ref="I50:Z50"/>
    <mergeCell ref="I60:Z60"/>
    <mergeCell ref="T64:T66"/>
    <mergeCell ref="V64:V66"/>
    <mergeCell ref="X64:X66"/>
    <mergeCell ref="Z64:Z66"/>
    <mergeCell ref="P43:P44"/>
    <mergeCell ref="P45:P47"/>
    <mergeCell ref="L52:L54"/>
    <mergeCell ref="N52:N54"/>
    <mergeCell ref="P52:P54"/>
    <mergeCell ref="L64:L66"/>
    <mergeCell ref="N64:N66"/>
    <mergeCell ref="R45:R47"/>
    <mergeCell ref="T45:T47"/>
    <mergeCell ref="R52:R54"/>
    <mergeCell ref="T52:T54"/>
    <mergeCell ref="V52:V54"/>
    <mergeCell ref="X52:X54"/>
    <mergeCell ref="Z52:Z54"/>
    <mergeCell ref="AA136:AC136"/>
    <mergeCell ref="P140:P142"/>
    <mergeCell ref="R140:R142"/>
    <mergeCell ref="T140:T142"/>
    <mergeCell ref="V140:V142"/>
    <mergeCell ref="I145:Z145"/>
    <mergeCell ref="AA145:AC145"/>
    <mergeCell ref="T157:T159"/>
    <mergeCell ref="V157:V159"/>
    <mergeCell ref="X157:X159"/>
    <mergeCell ref="Z157:Z159"/>
    <mergeCell ref="AB138:AB144"/>
    <mergeCell ref="AC138:AC144"/>
    <mergeCell ref="X140:X142"/>
    <mergeCell ref="Z140:Z142"/>
    <mergeCell ref="AA137:AC137"/>
    <mergeCell ref="AA146:AC146"/>
    <mergeCell ref="AA138:AA144"/>
    <mergeCell ref="AA147:AA152"/>
    <mergeCell ref="AB147:AB152"/>
    <mergeCell ref="AC147:AC152"/>
    <mergeCell ref="AA154:AC154"/>
    <mergeCell ref="AA155:AA161"/>
    <mergeCell ref="AB155:AB161"/>
    <mergeCell ref="AA115:AC115"/>
    <mergeCell ref="L119:L120"/>
    <mergeCell ref="N119:N120"/>
    <mergeCell ref="R119:R120"/>
    <mergeCell ref="L121:L123"/>
    <mergeCell ref="N121:N123"/>
    <mergeCell ref="AA126:AC126"/>
    <mergeCell ref="AA127:AC127"/>
    <mergeCell ref="Z128:Z130"/>
    <mergeCell ref="AA128:AA135"/>
    <mergeCell ref="AB128:AB135"/>
    <mergeCell ref="AC128:AC135"/>
    <mergeCell ref="L109:L111"/>
    <mergeCell ref="N109:N111"/>
    <mergeCell ref="P109:P111"/>
    <mergeCell ref="R109:R111"/>
    <mergeCell ref="T109:T111"/>
    <mergeCell ref="V109:V111"/>
    <mergeCell ref="R121:R123"/>
    <mergeCell ref="T121:T123"/>
    <mergeCell ref="R128:R130"/>
    <mergeCell ref="T128:T130"/>
    <mergeCell ref="V128:V130"/>
    <mergeCell ref="I115:Z115"/>
    <mergeCell ref="V121:V123"/>
    <mergeCell ref="I126:Z126"/>
    <mergeCell ref="I136:Z136"/>
    <mergeCell ref="P119:P120"/>
    <mergeCell ref="P121:P123"/>
    <mergeCell ref="L128:L130"/>
    <mergeCell ref="N128:N130"/>
    <mergeCell ref="P128:P130"/>
    <mergeCell ref="L140:L142"/>
    <mergeCell ref="N140:N142"/>
    <mergeCell ref="X128:X130"/>
    <mergeCell ref="X121:X123"/>
    <mergeCell ref="Z121:Z123"/>
    <mergeCell ref="A128:A130"/>
    <mergeCell ref="A131:A133"/>
    <mergeCell ref="A90:A92"/>
    <mergeCell ref="A93:A95"/>
    <mergeCell ref="A100:A101"/>
    <mergeCell ref="A109:A111"/>
    <mergeCell ref="A112:A114"/>
    <mergeCell ref="A117:A118"/>
    <mergeCell ref="A119:A120"/>
    <mergeCell ref="B61:C61"/>
    <mergeCell ref="D64:D66"/>
    <mergeCell ref="E64:E66"/>
    <mergeCell ref="B86:C87"/>
    <mergeCell ref="D86:D87"/>
    <mergeCell ref="B105:C106"/>
    <mergeCell ref="D105:D106"/>
    <mergeCell ref="A98:G98"/>
    <mergeCell ref="B99:C99"/>
    <mergeCell ref="B100:C101"/>
    <mergeCell ref="E100:E101"/>
    <mergeCell ref="F100:F106"/>
    <mergeCell ref="G100:G106"/>
    <mergeCell ref="E102:E104"/>
    <mergeCell ref="E105:E106"/>
    <mergeCell ref="E36:E38"/>
    <mergeCell ref="A39:G39"/>
    <mergeCell ref="B36:C38"/>
    <mergeCell ref="D36:D38"/>
    <mergeCell ref="B40:C40"/>
    <mergeCell ref="B41:C42"/>
    <mergeCell ref="E41:E42"/>
    <mergeCell ref="F41:F49"/>
    <mergeCell ref="G41:G49"/>
    <mergeCell ref="D48:D49"/>
    <mergeCell ref="E45:E47"/>
    <mergeCell ref="A48:A49"/>
    <mergeCell ref="B48:C49"/>
    <mergeCell ref="E48:E49"/>
    <mergeCell ref="D41:D42"/>
    <mergeCell ref="D43:D44"/>
    <mergeCell ref="E43:E44"/>
    <mergeCell ref="D45:D47"/>
    <mergeCell ref="F71:F76"/>
    <mergeCell ref="G71:G76"/>
    <mergeCell ref="D74:D76"/>
    <mergeCell ref="E74:E76"/>
    <mergeCell ref="D67:D68"/>
    <mergeCell ref="E67:E68"/>
    <mergeCell ref="A69:G69"/>
    <mergeCell ref="B70:C70"/>
    <mergeCell ref="A71:A73"/>
    <mergeCell ref="D71:D73"/>
    <mergeCell ref="E71:E73"/>
    <mergeCell ref="A74:A76"/>
    <mergeCell ref="B74:C76"/>
    <mergeCell ref="D52:D54"/>
    <mergeCell ref="F52:F59"/>
    <mergeCell ref="G52:G59"/>
    <mergeCell ref="D55:D57"/>
    <mergeCell ref="E55:E57"/>
    <mergeCell ref="D58:D59"/>
    <mergeCell ref="E58:E59"/>
    <mergeCell ref="D183:D185"/>
    <mergeCell ref="E183:E185"/>
    <mergeCell ref="D26:D28"/>
    <mergeCell ref="E26:E28"/>
    <mergeCell ref="D29:D30"/>
    <mergeCell ref="E29:E30"/>
    <mergeCell ref="A24:A25"/>
    <mergeCell ref="B24:C25"/>
    <mergeCell ref="D24:D25"/>
    <mergeCell ref="E24:E25"/>
    <mergeCell ref="A26:A28"/>
    <mergeCell ref="A31:G31"/>
    <mergeCell ref="A33:A35"/>
    <mergeCell ref="A36:A38"/>
    <mergeCell ref="A41:A42"/>
    <mergeCell ref="A43:A44"/>
    <mergeCell ref="A45:A47"/>
    <mergeCell ref="A29:A30"/>
    <mergeCell ref="B29:C30"/>
    <mergeCell ref="B32:C32"/>
    <mergeCell ref="D33:D35"/>
    <mergeCell ref="E33:E35"/>
    <mergeCell ref="F33:F38"/>
    <mergeCell ref="G33:G38"/>
    <mergeCell ref="A180:A182"/>
    <mergeCell ref="A183:A185"/>
    <mergeCell ref="A138:A139"/>
    <mergeCell ref="A140:A142"/>
    <mergeCell ref="A143:A144"/>
    <mergeCell ref="A147:A149"/>
    <mergeCell ref="A150:A152"/>
    <mergeCell ref="A155:A156"/>
    <mergeCell ref="A157:A159"/>
    <mergeCell ref="D140:D142"/>
    <mergeCell ref="E140:E142"/>
    <mergeCell ref="D147:D149"/>
    <mergeCell ref="E147:E149"/>
    <mergeCell ref="F147:F152"/>
    <mergeCell ref="G147:G152"/>
    <mergeCell ref="A153:G153"/>
    <mergeCell ref="A160:A161"/>
    <mergeCell ref="A164:A166"/>
    <mergeCell ref="D180:D182"/>
    <mergeCell ref="E180:E182"/>
    <mergeCell ref="F180:F185"/>
    <mergeCell ref="G180:G185"/>
    <mergeCell ref="B183:C185"/>
    <mergeCell ref="B131:C133"/>
    <mergeCell ref="D131:D133"/>
    <mergeCell ref="E131:E133"/>
    <mergeCell ref="A134:A135"/>
    <mergeCell ref="D134:D135"/>
    <mergeCell ref="E134:E135"/>
    <mergeCell ref="A136:G136"/>
    <mergeCell ref="B143:C144"/>
    <mergeCell ref="D143:D144"/>
    <mergeCell ref="A145:G145"/>
    <mergeCell ref="B146:C146"/>
    <mergeCell ref="B134:C135"/>
    <mergeCell ref="B137:C137"/>
    <mergeCell ref="B138:C139"/>
    <mergeCell ref="D138:D139"/>
    <mergeCell ref="E138:E139"/>
    <mergeCell ref="F138:F144"/>
    <mergeCell ref="G138:G144"/>
    <mergeCell ref="E143:E144"/>
    <mergeCell ref="D172:D174"/>
    <mergeCell ref="E172:E174"/>
    <mergeCell ref="F172:F177"/>
    <mergeCell ref="G172:G177"/>
    <mergeCell ref="D175:D177"/>
    <mergeCell ref="E175:E177"/>
    <mergeCell ref="A178:G178"/>
    <mergeCell ref="B175:C177"/>
    <mergeCell ref="B179:C179"/>
    <mergeCell ref="A172:A174"/>
    <mergeCell ref="A175:A177"/>
    <mergeCell ref="B167:C169"/>
    <mergeCell ref="A170:G170"/>
    <mergeCell ref="B171:C171"/>
    <mergeCell ref="D160:D161"/>
    <mergeCell ref="D164:D166"/>
    <mergeCell ref="E164:E166"/>
    <mergeCell ref="F164:F169"/>
    <mergeCell ref="G164:G169"/>
    <mergeCell ref="D167:D169"/>
    <mergeCell ref="E167:E169"/>
    <mergeCell ref="A167:A169"/>
    <mergeCell ref="B150:C152"/>
    <mergeCell ref="B154:C154"/>
    <mergeCell ref="B155:C156"/>
    <mergeCell ref="D155:D156"/>
    <mergeCell ref="E155:E156"/>
    <mergeCell ref="B160:C161"/>
    <mergeCell ref="A162:G162"/>
    <mergeCell ref="B163:C163"/>
    <mergeCell ref="D150:D152"/>
    <mergeCell ref="E150:E152"/>
    <mergeCell ref="F155:F161"/>
    <mergeCell ref="G155:G161"/>
    <mergeCell ref="D157:D159"/>
    <mergeCell ref="E157:E159"/>
    <mergeCell ref="E160:E161"/>
    <mergeCell ref="B112:C114"/>
    <mergeCell ref="B116:C116"/>
    <mergeCell ref="B117:C118"/>
    <mergeCell ref="D117:D118"/>
    <mergeCell ref="E117:E118"/>
    <mergeCell ref="F128:F135"/>
    <mergeCell ref="G128:G135"/>
    <mergeCell ref="A121:A123"/>
    <mergeCell ref="A124:A125"/>
    <mergeCell ref="B124:C125"/>
    <mergeCell ref="A126:G126"/>
    <mergeCell ref="B127:C127"/>
    <mergeCell ref="D128:D130"/>
    <mergeCell ref="E128:E130"/>
    <mergeCell ref="D121:D123"/>
    <mergeCell ref="D124:D125"/>
    <mergeCell ref="D112:D114"/>
    <mergeCell ref="E112:E114"/>
    <mergeCell ref="F117:F125"/>
    <mergeCell ref="G117:G125"/>
    <mergeCell ref="D119:D120"/>
    <mergeCell ref="E119:E120"/>
    <mergeCell ref="E121:E123"/>
    <mergeCell ref="E124:E125"/>
    <mergeCell ref="D109:D111"/>
    <mergeCell ref="E109:E111"/>
    <mergeCell ref="F109:F114"/>
    <mergeCell ref="G109:G114"/>
    <mergeCell ref="A115:G115"/>
    <mergeCell ref="E79:E80"/>
    <mergeCell ref="F79:F87"/>
    <mergeCell ref="G79:G87"/>
    <mergeCell ref="A83:A85"/>
    <mergeCell ref="D83:D85"/>
    <mergeCell ref="E83:E85"/>
    <mergeCell ref="A86:A87"/>
    <mergeCell ref="B93:C95"/>
    <mergeCell ref="D93:D95"/>
    <mergeCell ref="E93:E95"/>
    <mergeCell ref="A96:A97"/>
    <mergeCell ref="B96:C97"/>
    <mergeCell ref="D96:D97"/>
    <mergeCell ref="E96:E97"/>
    <mergeCell ref="E86:E87"/>
    <mergeCell ref="A88:G88"/>
    <mergeCell ref="B89:C89"/>
    <mergeCell ref="D90:D92"/>
    <mergeCell ref="E90:E92"/>
    <mergeCell ref="AA77:AC77"/>
    <mergeCell ref="AA78:AC78"/>
    <mergeCell ref="AA79:AA87"/>
    <mergeCell ref="A102:A104"/>
    <mergeCell ref="A105:A106"/>
    <mergeCell ref="A107:G107"/>
    <mergeCell ref="B108:C108"/>
    <mergeCell ref="D100:D101"/>
    <mergeCell ref="D102:D104"/>
    <mergeCell ref="F90:F97"/>
    <mergeCell ref="G90:G97"/>
    <mergeCell ref="D79:D80"/>
    <mergeCell ref="D81:D82"/>
    <mergeCell ref="A77:G77"/>
    <mergeCell ref="B78:C78"/>
    <mergeCell ref="A79:A80"/>
    <mergeCell ref="B79:C80"/>
    <mergeCell ref="A81:A82"/>
    <mergeCell ref="E81:E82"/>
    <mergeCell ref="AA108:AC108"/>
    <mergeCell ref="R81:R82"/>
    <mergeCell ref="R83:R85"/>
    <mergeCell ref="T83:T85"/>
    <mergeCell ref="V83:V85"/>
    <mergeCell ref="AC52:AC59"/>
    <mergeCell ref="AA60:AC60"/>
    <mergeCell ref="AA61:AC61"/>
    <mergeCell ref="AB62:AB68"/>
    <mergeCell ref="AC62:AC68"/>
    <mergeCell ref="AA69:AC69"/>
    <mergeCell ref="AA70:AC70"/>
    <mergeCell ref="AA62:AA68"/>
    <mergeCell ref="AA71:AA76"/>
    <mergeCell ref="AB71:AB76"/>
    <mergeCell ref="AC71:AC76"/>
    <mergeCell ref="X71:X73"/>
    <mergeCell ref="Z71:Z73"/>
    <mergeCell ref="P64:P66"/>
    <mergeCell ref="R64:R66"/>
    <mergeCell ref="I69:Z69"/>
    <mergeCell ref="L71:L73"/>
    <mergeCell ref="N71:N73"/>
    <mergeCell ref="P71:P73"/>
    <mergeCell ref="R71:R73"/>
    <mergeCell ref="L43:L44"/>
    <mergeCell ref="N43:N44"/>
    <mergeCell ref="R43:R44"/>
    <mergeCell ref="L45:L47"/>
    <mergeCell ref="N45:N47"/>
    <mergeCell ref="Z45:Z47"/>
    <mergeCell ref="A67:A68"/>
    <mergeCell ref="B67:C68"/>
    <mergeCell ref="A62:A63"/>
    <mergeCell ref="B62:C63"/>
    <mergeCell ref="D62:D63"/>
    <mergeCell ref="E62:E63"/>
    <mergeCell ref="F62:F68"/>
    <mergeCell ref="G62:G68"/>
    <mergeCell ref="A64:A66"/>
    <mergeCell ref="A50:G50"/>
    <mergeCell ref="B51:C51"/>
    <mergeCell ref="E52:E54"/>
    <mergeCell ref="A52:A54"/>
    <mergeCell ref="A55:A57"/>
    <mergeCell ref="B55:C57"/>
    <mergeCell ref="A58:A59"/>
    <mergeCell ref="B58:C59"/>
    <mergeCell ref="A60:G60"/>
    <mergeCell ref="V33:V35"/>
    <mergeCell ref="X33:X35"/>
    <mergeCell ref="AA33:AA38"/>
    <mergeCell ref="AB33:AB38"/>
    <mergeCell ref="AC33:AC38"/>
    <mergeCell ref="AA39:AC39"/>
    <mergeCell ref="AA40:AC40"/>
    <mergeCell ref="Z33:Z35"/>
    <mergeCell ref="I39:Z39"/>
    <mergeCell ref="A10:A11"/>
    <mergeCell ref="B10:C11"/>
    <mergeCell ref="E10:E11"/>
    <mergeCell ref="A12:G12"/>
    <mergeCell ref="B13:C13"/>
    <mergeCell ref="E14:E16"/>
    <mergeCell ref="AA22:AC22"/>
    <mergeCell ref="AA23:AC23"/>
    <mergeCell ref="AA24:AA30"/>
    <mergeCell ref="AB24:AB30"/>
    <mergeCell ref="AC24:AC30"/>
    <mergeCell ref="A14:A16"/>
    <mergeCell ref="A17:A19"/>
    <mergeCell ref="B17:C19"/>
    <mergeCell ref="A20:A21"/>
    <mergeCell ref="B20:C21"/>
    <mergeCell ref="A22:G22"/>
    <mergeCell ref="B23:C23"/>
    <mergeCell ref="F24:F30"/>
    <mergeCell ref="G24:G30"/>
    <mergeCell ref="L26:L28"/>
    <mergeCell ref="N26:N28"/>
    <mergeCell ref="P26:P28"/>
    <mergeCell ref="R26:R28"/>
    <mergeCell ref="D10:D11"/>
    <mergeCell ref="D14:D16"/>
    <mergeCell ref="F14:F21"/>
    <mergeCell ref="G14:G21"/>
    <mergeCell ref="D17:D19"/>
    <mergeCell ref="E17:E19"/>
    <mergeCell ref="D20:D21"/>
    <mergeCell ref="E20:E21"/>
    <mergeCell ref="E7:E9"/>
    <mergeCell ref="I22:Z22"/>
    <mergeCell ref="V7:V9"/>
    <mergeCell ref="X7:X9"/>
    <mergeCell ref="F3:F11"/>
    <mergeCell ref="G3:G11"/>
    <mergeCell ref="AA3:AA11"/>
    <mergeCell ref="AB3:AB11"/>
    <mergeCell ref="AC3:AC11"/>
    <mergeCell ref="R5:R6"/>
    <mergeCell ref="Z7:Z9"/>
    <mergeCell ref="L7:L9"/>
    <mergeCell ref="L14:L16"/>
    <mergeCell ref="N14:N16"/>
    <mergeCell ref="P14:P16"/>
    <mergeCell ref="R14:R16"/>
    <mergeCell ref="T14:T16"/>
    <mergeCell ref="R7:R9"/>
    <mergeCell ref="T7:T9"/>
    <mergeCell ref="I12:Z12"/>
    <mergeCell ref="AA12:AC12"/>
    <mergeCell ref="AA13:AC13"/>
    <mergeCell ref="V14:V16"/>
    <mergeCell ref="X14:X16"/>
    <mergeCell ref="Z14:Z16"/>
    <mergeCell ref="AA14:AA21"/>
    <mergeCell ref="AB14:AB21"/>
    <mergeCell ref="AC14:AC21"/>
    <mergeCell ref="D7:D9"/>
    <mergeCell ref="E5:E6"/>
    <mergeCell ref="L5:L6"/>
    <mergeCell ref="N5:N6"/>
    <mergeCell ref="P5:P6"/>
    <mergeCell ref="A5:A6"/>
    <mergeCell ref="A7:A9"/>
    <mergeCell ref="N7:N9"/>
    <mergeCell ref="P7:P9"/>
    <mergeCell ref="A1:G1"/>
    <mergeCell ref="I1:Z1"/>
    <mergeCell ref="AA1:AC1"/>
    <mergeCell ref="B2:C2"/>
    <mergeCell ref="AA2:AC2"/>
    <mergeCell ref="A3:A4"/>
    <mergeCell ref="B3:C4"/>
    <mergeCell ref="D3:D4"/>
    <mergeCell ref="D5:D6"/>
    <mergeCell ref="E3:E4"/>
  </mergeCells>
  <phoneticPr fontId="8" type="noConversion"/>
  <dataValidations count="2">
    <dataValidation type="list" allowBlank="1" showErrorMessage="1" sqref="B3" xr:uid="{00000000-0002-0000-0000-000000000000}">
      <formula1>"經由第三方查核確認,未經由第三方查核確認"</formula1>
    </dataValidation>
    <dataValidation type="list" allowBlank="1" showErrorMessage="1" sqref="B10" xr:uid="{00000000-0002-0000-0000-000001000000}">
      <formula1>"歷史紀錄保存完整,歷史紀錄未保存完整"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2024-12-08T12:57:10Z</dcterms:modified>
</cp:coreProperties>
</file>