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總表" sheetId="1" r:id="rId4"/>
    <sheet state="hidden" name="@FTA量表=TRUE" sheetId="2" r:id="rId5"/>
  </sheets>
  <definedNames/>
  <calcPr/>
</workbook>
</file>

<file path=xl/sharedStrings.xml><?xml version="1.0" encoding="utf-8"?>
<sst xmlns="http://schemas.openxmlformats.org/spreadsheetml/2006/main" count="68" uniqueCount="32">
  <si>
    <t>可靠度概率</t>
  </si>
  <si>
    <t>F1-a1-1(t)</t>
  </si>
  <si>
    <t>可靠度
 概率</t>
  </si>
  <si>
    <t>F1-a1-2(t)</t>
  </si>
  <si>
    <t>F1-a2-1(t)</t>
  </si>
  <si>
    <t>F1-a2-2(t)</t>
  </si>
  <si>
    <t>F1-b1-1(t)</t>
  </si>
  <si>
    <t>F1-b1-2</t>
  </si>
  <si>
    <t>F1-b2-1(t)</t>
  </si>
  <si>
    <t>F1-b2-2(t)</t>
  </si>
  <si>
    <t>F1-c1-1(t)</t>
  </si>
  <si>
    <t>F1-c1-2(t)</t>
  </si>
  <si>
    <t>F1-c2-1(t)</t>
  </si>
  <si>
    <t>F1-c2-2(t)</t>
  </si>
  <si>
    <t>F1-d1-1(t)</t>
  </si>
  <si>
    <t>F1-d1-2(t)</t>
  </si>
  <si>
    <t>F1-d2-1(t)</t>
  </si>
  <si>
    <t>F1-d2-2(t)</t>
  </si>
  <si>
    <t>F1-e1(t)</t>
  </si>
  <si>
    <t>F1-e2(t)</t>
  </si>
  <si>
    <t>F2-a1(t)</t>
  </si>
  <si>
    <t>F2-a2(t)</t>
  </si>
  <si>
    <t>D03 TRUE</t>
  </si>
  <si>
    <t>D04 TRUE</t>
  </si>
  <si>
    <t>D05 TRUE</t>
  </si>
  <si>
    <t>D06 TRUE</t>
  </si>
  <si>
    <t>D07 TRUE</t>
  </si>
  <si>
    <t>D08 TRUE</t>
  </si>
  <si>
    <t>D09 TRUE</t>
  </si>
  <si>
    <t>D10 TRUE</t>
  </si>
  <si>
    <t>文字</t>
  </si>
  <si>
    <t>頓號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</si>
</sst>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0.0%"/>
  </numFmts>
  <fonts count="8">
    <font>
      <sz val="10.0"/>
      <color rgb="FF000000"/>
      <name val="Arial"/>
      <scheme val="minor"/>
    </font>
    <font>
      <b/>
      <sz val="12.0"/>
      <color rgb="FF000000"/>
      <name val="Microsoft JhengHei"/>
    </font>
    <font/>
    <font>
      <sz val="12.0"/>
      <color rgb="FF000000"/>
      <name val="Microsoft JhengHei"/>
    </font>
    <font>
      <sz val="12.0"/>
      <color theme="1"/>
      <name val="Microsoft JhengHei"/>
    </font>
    <font>
      <b/>
      <sz val="12.0"/>
      <color rgb="FF000000"/>
      <name val="&quot;Times New Roman&quot;"/>
    </font>
    <font>
      <sz val="9.0"/>
      <color rgb="FFFFFFFF"/>
      <name val="Times New Roman"/>
    </font>
    <font>
      <sz val="9.0"/>
      <color theme="1"/>
      <name val="Times New Roman"/>
    </font>
  </fonts>
  <fills count="11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DEEBF7"/>
        <bgColor rgb="FFDEEBF7"/>
      </patternFill>
    </fill>
    <fill>
      <patternFill patternType="solid">
        <fgColor rgb="FFFFF2CC"/>
        <bgColor rgb="FFFFF2CC"/>
      </patternFill>
    </fill>
    <fill>
      <patternFill patternType="solid">
        <fgColor rgb="FF274E13"/>
        <bgColor rgb="FF274E13"/>
      </patternFill>
    </fill>
    <fill>
      <patternFill patternType="solid">
        <fgColor rgb="FF660000"/>
        <bgColor rgb="FF660000"/>
      </patternFill>
    </fill>
    <fill>
      <patternFill patternType="solid">
        <fgColor rgb="FFF4CCCC"/>
        <bgColor rgb="FFF4CCCC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2" fillId="2" fontId="1" numFmtId="0" xfId="0" applyAlignment="1" applyBorder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4" fontId="1" numFmtId="0" xfId="0" applyAlignment="1" applyBorder="1" applyFill="1" applyFon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5" fillId="3" fontId="1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5" fontId="3" numFmtId="0" xfId="0" applyAlignment="1" applyBorder="1" applyFill="1" applyFont="1">
      <alignment horizontal="left" readingOrder="0" shrinkToFit="0" vertical="center" wrapText="1"/>
    </xf>
    <xf borderId="10" fillId="5" fontId="3" numFmtId="0" xfId="0" applyAlignment="1" applyBorder="1" applyFont="1">
      <alignment horizontal="left" readingOrder="0" shrinkToFit="0" vertical="center" wrapText="1"/>
    </xf>
    <xf borderId="9" fillId="5" fontId="3" numFmtId="164" xfId="0" applyAlignment="1" applyBorder="1" applyFont="1" applyNumberFormat="1">
      <alignment horizontal="center" readingOrder="0" shrinkToFit="0" vertical="center" wrapText="1"/>
    </xf>
    <xf borderId="9" fillId="5" fontId="3" numFmtId="9" xfId="0" applyAlignment="1" applyBorder="1" applyFont="1" applyNumberFormat="1">
      <alignment horizontal="center" readingOrder="0" shrinkToFit="0" vertical="center" wrapText="1"/>
    </xf>
    <xf borderId="9" fillId="6" fontId="3" numFmtId="165" xfId="0" applyAlignment="1" applyBorder="1" applyFill="1" applyFont="1" applyNumberFormat="1">
      <alignment horizontal="center" readingOrder="0" shrinkToFit="0" vertical="center" wrapText="1"/>
    </xf>
    <xf borderId="5" fillId="3" fontId="3" numFmtId="9" xfId="0" applyAlignment="1" applyBorder="1" applyFont="1" applyNumberFormat="1">
      <alignment horizontal="center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9" fillId="7" fontId="3" numFmtId="0" xfId="0" applyAlignment="1" applyBorder="1" applyFill="1" applyFont="1">
      <alignment horizontal="left" readingOrder="0" shrinkToFit="0" vertical="center" wrapText="1"/>
    </xf>
    <xf borderId="5" fillId="7" fontId="3" numFmtId="0" xfId="0" applyAlignment="1" applyBorder="1" applyFont="1">
      <alignment horizontal="center" readingOrder="0" shrinkToFit="0" vertical="center" wrapText="1"/>
    </xf>
    <xf borderId="5" fillId="7" fontId="3" numFmtId="0" xfId="0" applyAlignment="1" applyBorder="1" applyFont="1">
      <alignment horizontal="left" readingOrder="0" shrinkToFit="0" vertical="center" wrapText="1"/>
    </xf>
    <xf borderId="9" fillId="7" fontId="3" numFmtId="164" xfId="0" applyAlignment="1" applyBorder="1" applyFont="1" applyNumberFormat="1">
      <alignment horizontal="center" readingOrder="0" shrinkToFit="0" vertical="center" wrapText="1"/>
    </xf>
    <xf borderId="9" fillId="7" fontId="3" numFmtId="9" xfId="0" applyAlignment="1" applyBorder="1" applyFont="1" applyNumberFormat="1">
      <alignment horizontal="center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0" fillId="3" fontId="4" numFmtId="0" xfId="0" applyAlignment="1" applyFont="1">
      <alignment shrinkToFit="0" vertical="center" wrapText="1"/>
    </xf>
    <xf borderId="5" fillId="4" fontId="1" numFmtId="165" xfId="0" applyAlignment="1" applyBorder="1" applyFont="1" applyNumberFormat="1">
      <alignment horizontal="center" readingOrder="0" shrinkToFit="0" vertical="center" wrapText="1"/>
    </xf>
    <xf borderId="5" fillId="4" fontId="5" numFmtId="0" xfId="0" applyAlignment="1" applyBorder="1" applyFont="1">
      <alignment horizontal="center" readingOrder="0" shrinkToFit="0" vertical="center" wrapText="1"/>
    </xf>
    <xf borderId="5" fillId="5" fontId="3" numFmtId="0" xfId="0" applyAlignment="1" applyBorder="1" applyFont="1">
      <alignment horizontal="left" readingOrder="0" shrinkToFit="0" vertical="center" wrapText="1"/>
    </xf>
    <xf borderId="1" fillId="8" fontId="6" numFmtId="0" xfId="0" applyAlignment="1" applyBorder="1" applyFill="1" applyFont="1">
      <alignment horizontal="left" readingOrder="0" shrinkToFit="0" vertical="center" wrapText="1"/>
    </xf>
    <xf borderId="1" fillId="9" fontId="6" numFmtId="0" xfId="0" applyAlignment="1" applyBorder="1" applyFill="1" applyFont="1">
      <alignment horizontal="left" readingOrder="0" shrinkToFit="0" vertical="center" wrapText="1"/>
    </xf>
    <xf borderId="1" fillId="8" fontId="6" numFmtId="0" xfId="0" applyAlignment="1" applyBorder="1" applyFont="1">
      <alignment horizontal="center" readingOrder="0" shrinkToFit="0" vertical="center" wrapText="1"/>
    </xf>
    <xf borderId="1" fillId="9" fontId="6" numFmtId="0" xfId="0" applyAlignment="1" applyBorder="1" applyFont="1">
      <alignment horizontal="center" readingOrder="0" shrinkToFit="0" vertical="center" wrapText="1"/>
    </xf>
    <xf borderId="5" fillId="8" fontId="6" numFmtId="0" xfId="0" applyAlignment="1" applyBorder="1" applyFont="1">
      <alignment horizontal="center" readingOrder="0" shrinkToFit="0" vertical="center" wrapText="1"/>
    </xf>
    <xf borderId="5" fillId="9" fontId="6" numFmtId="0" xfId="0" applyAlignment="1" applyBorder="1" applyFont="1">
      <alignment horizontal="center" readingOrder="0" shrinkToFit="0" vertical="center" wrapText="1"/>
    </xf>
    <xf borderId="5" fillId="5" fontId="7" numFmtId="0" xfId="0" applyAlignment="1" applyBorder="1" applyFont="1">
      <alignment readingOrder="0" shrinkToFit="0" wrapText="1"/>
    </xf>
    <xf borderId="5" fillId="10" fontId="7" numFmtId="0" xfId="0" applyAlignment="1" applyBorder="1" applyFill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38"/>
    <col customWidth="1" min="2" max="2" width="9.38"/>
    <col customWidth="1" min="3" max="3" width="32.63"/>
    <col customWidth="1" min="4" max="4" width="5.0"/>
    <col customWidth="1" min="5" max="5" width="5.13"/>
    <col customWidth="1" min="6" max="6" width="7.38"/>
    <col customWidth="1" min="7" max="7" width="11.63"/>
    <col customWidth="1" min="8" max="8" width="7.38"/>
    <col customWidth="1" min="9" max="9" width="11.63"/>
    <col customWidth="1" min="10" max="10" width="1.63"/>
    <col customWidth="1" min="11" max="11" width="83.88"/>
    <col customWidth="1" min="12" max="12" width="12.88"/>
  </cols>
  <sheetData>
    <row r="1" ht="57.0" customHeight="1">
      <c r="A1" s="1" t="str">
        <f>IFERROR(__xludf.DUMMYFUNCTION("IMPORTRANGE(""https://docs.google.com/spreadsheets/d/1Okh8HwnHcBVnLqI4Pjg-OQsUhO3gjQUH-GI-Yk7vUuM/edit?pli=1&amp;gid=0#gid=0"",""'總表'!A1:G"")"),"充電電壓設定不當 F1-a1-1(t)")</f>
        <v>充電電壓設定不當 F1-a1-1(t)</v>
      </c>
      <c r="B1" s="2"/>
      <c r="C1" s="2"/>
      <c r="D1" s="2"/>
      <c r="E1" s="2"/>
      <c r="F1" s="2"/>
      <c r="G1" s="2"/>
      <c r="H1" s="3"/>
      <c r="I1" s="3"/>
      <c r="J1" s="4"/>
      <c r="K1" s="5" t="str">
        <f>"在故障樹的第3階火災成因分析中，「"&amp;A1&amp;"」的調查問項包括"&amp;A3&amp;"、"&amp;A5&amp;"、"&amp;A7&amp;"、"&amp;A10&amp;"等4項。其中，「"&amp;A3&amp;"」方面，設定條件為"&amp;K3&amp;"；"&amp;"符合「"&amp;A5&amp;"」的條件，則為"&amp;K5&amp;L5&amp;K6&amp;L6&amp;"符合「"&amp;A7&amp;"」的條件為"&amp;K7&amp;L7&amp;K8&amp;L8&amp;K9&amp;L9&amp;"「"&amp;A10&amp;"」的設定為"&amp;K10&amp;"。將確證後計算加權分數後，可靠度概率為"&amp;H3&amp;"，"&amp;A1&amp;"的故障率為"&amp;I3&amp;"。"</f>
        <v>在故障樹的第3階火災成因分析中，「充電電壓設定不當 F1-a1-1(t)」的調查問項包括符合規定的充電電壓設定、充電電壓受到遠端監控、充電電壓異常發出警告訊號、充電電壓的歷史紀錄等4項。其中，「符合規定的充電電壓設定」方面，設定條件為經由第三方查核確認；符合「充電電壓受到遠端監控」的條件，則為模組充電電壓受到遠端監控且設定值符合規範、機櫃充電電壓受到遠端監控且設定值符合規範；符合「充電電壓異常發出警告訊號」的條件為BMS通過Test Report - IEC 60730-1 - Annex H測試、異常訊號可同時通知現場及遠端管理人員；「充電電壓的歷史紀錄」的設定為歷史紀錄保存完整。將確證後計算加權分數後，可靠度概率為88.1%，充電電壓設定不當 F1-a1-1(t)的故障率為11.9%。</v>
      </c>
      <c r="L1" s="6"/>
    </row>
    <row r="2" ht="57.0" customHeight="1">
      <c r="A2" s="7" t="str">
        <f>IFERROR(__xludf.DUMMYFUNCTION("""COMPUTED_VALUE"""),"確保可靠度的手段")</f>
        <v>確保可靠度的手段</v>
      </c>
      <c r="B2" s="8" t="str">
        <f>IFERROR(__xludf.DUMMYFUNCTION("""COMPUTED_VALUE"""),"確證方式")</f>
        <v>確證方式</v>
      </c>
      <c r="C2" s="9"/>
      <c r="D2" s="7" t="str">
        <f>IFERROR(__xludf.DUMMYFUNCTION("""COMPUTED_VALUE"""),"得分")</f>
        <v>得分</v>
      </c>
      <c r="E2" s="7" t="str">
        <f>IFERROR(__xludf.DUMMYFUNCTION("""COMPUTED_VALUE"""),"權重")</f>
        <v>權重</v>
      </c>
      <c r="F2" s="7" t="str">
        <f>IFERROR(__xludf.DUMMYFUNCTION("""COMPUTED_VALUE"""),"可靠度概率")</f>
        <v>可靠度概率</v>
      </c>
      <c r="G2" s="7" t="str">
        <f>IFERROR(__xludf.DUMMYFUNCTION("""COMPUTED_VALUE"""),"F1-a1-1(t)")</f>
        <v>F1-a1-1(t)</v>
      </c>
      <c r="H2" s="7" t="s">
        <v>0</v>
      </c>
      <c r="I2" s="7" t="s">
        <v>1</v>
      </c>
      <c r="J2" s="10"/>
      <c r="K2" s="11"/>
      <c r="L2" s="12"/>
    </row>
    <row r="3" ht="18.75" customHeight="1">
      <c r="A3" s="13" t="str">
        <f>IFERROR(__xludf.DUMMYFUNCTION("""COMPUTED_VALUE"""),"符合規定的充電電壓設定")</f>
        <v>符合規定的充電電壓設定</v>
      </c>
      <c r="B3" s="14" t="str">
        <f>IFERROR(__xludf.DUMMYFUNCTION("""COMPUTED_VALUE"""),"經由第三方查核確認")</f>
        <v>經由第三方查核確認</v>
      </c>
      <c r="C3" s="6"/>
      <c r="D3" s="15">
        <f>IFERROR(__xludf.DUMMYFUNCTION("""COMPUTED_VALUE"""),8.5)</f>
        <v>8.5</v>
      </c>
      <c r="E3" s="16">
        <f>IFERROR(__xludf.DUMMYFUNCTION("""COMPUTED_VALUE"""),0.25)</f>
        <v>0.25</v>
      </c>
      <c r="F3" s="17">
        <f>IFERROR(__xludf.DUMMYFUNCTION("""COMPUTED_VALUE"""),0.8809999999999999)</f>
        <v>0.881</v>
      </c>
      <c r="G3" s="17">
        <f>IFERROR(__xludf.DUMMYFUNCTION("""COMPUTED_VALUE"""),0.1190000000000001)</f>
        <v>0.119</v>
      </c>
      <c r="H3" s="17" t="str">
        <f t="shared" ref="H3:I3" si="1">TEXT(ROUND(F3,3),"0.0%")</f>
        <v>88.1%</v>
      </c>
      <c r="I3" s="17" t="str">
        <f t="shared" si="1"/>
        <v>11.9%</v>
      </c>
      <c r="J3" s="18"/>
      <c r="K3" s="13" t="str">
        <f>B3</f>
        <v>經由第三方查核確認</v>
      </c>
      <c r="L3" s="13"/>
    </row>
    <row r="4" ht="18.75" customHeight="1">
      <c r="A4" s="19"/>
      <c r="B4" s="20"/>
      <c r="C4" s="12"/>
      <c r="D4" s="19"/>
      <c r="E4" s="19"/>
      <c r="F4" s="21"/>
      <c r="G4" s="21"/>
      <c r="H4" s="21"/>
      <c r="I4" s="21"/>
      <c r="J4" s="18"/>
      <c r="K4" s="19"/>
      <c r="L4" s="19"/>
    </row>
    <row r="5" ht="18.75" customHeight="1">
      <c r="A5" s="22" t="str">
        <f>IFERROR(__xludf.DUMMYFUNCTION("""COMPUTED_VALUE"""),"充電電壓受到遠端監控")</f>
        <v>充電電壓受到遠端監控</v>
      </c>
      <c r="B5" s="23" t="b">
        <f>IFERROR(__xludf.DUMMYFUNCTION("""COMPUTED_VALUE"""),TRUE)</f>
        <v>1</v>
      </c>
      <c r="C5" s="24" t="str">
        <f>IFERROR(__xludf.DUMMYFUNCTION("""COMPUTED_VALUE"""),"模組充電電壓受到遠端監控且設定值符合規範")</f>
        <v>模組充電電壓受到遠端監控且設定值符合規範</v>
      </c>
      <c r="D5" s="25">
        <f>IFERROR(__xludf.DUMMYFUNCTION("""COMPUTED_VALUE"""),8.9)</f>
        <v>8.9</v>
      </c>
      <c r="E5" s="26">
        <f>IFERROR(__xludf.DUMMYFUNCTION("""COMPUTED_VALUE"""),0.25)</f>
        <v>0.25</v>
      </c>
      <c r="F5" s="21"/>
      <c r="G5" s="21"/>
      <c r="H5" s="21"/>
      <c r="I5" s="21"/>
      <c r="J5" s="18"/>
      <c r="K5" s="24" t="str">
        <f>IFERROR(__xludf.DUMMYFUNCTION("IF(TO_TEXT(B5)=""TRUE"", C5,"""")"),"模組充電電壓受到遠端監控且設定值符合規範")</f>
        <v>模組充電電壓受到遠端監控且設定值符合規範</v>
      </c>
      <c r="L5" s="23" t="str">
        <f>IF(K5="","", IF(K6="","；","、"))</f>
        <v>、</v>
      </c>
    </row>
    <row r="6" ht="18.75" customHeight="1">
      <c r="A6" s="19"/>
      <c r="B6" s="23" t="b">
        <f>IFERROR(__xludf.DUMMYFUNCTION("""COMPUTED_VALUE"""),TRUE)</f>
        <v>1</v>
      </c>
      <c r="C6" s="24" t="str">
        <f>IFERROR(__xludf.DUMMYFUNCTION("""COMPUTED_VALUE"""),"機櫃充電電壓受到遠端監控且設定值符合規範")</f>
        <v>機櫃充電電壓受到遠端監控且設定值符合規範</v>
      </c>
      <c r="D6" s="19"/>
      <c r="E6" s="19"/>
      <c r="F6" s="21"/>
      <c r="G6" s="21"/>
      <c r="H6" s="21"/>
      <c r="I6" s="21"/>
      <c r="J6" s="18"/>
      <c r="K6" s="24" t="str">
        <f>IFERROR(__xludf.DUMMYFUNCTION("IF(TO_TEXT(B6)=""TRUE"", C6,"""")"),"機櫃充電電壓受到遠端監控且設定值符合規範")</f>
        <v>機櫃充電電壓受到遠端監控且設定值符合規範</v>
      </c>
      <c r="L6" s="23" t="str">
        <f>IF(K6="","","；")</f>
        <v>；</v>
      </c>
    </row>
    <row r="7" ht="18.75" customHeight="1">
      <c r="A7" s="22" t="str">
        <f>IFERROR(__xludf.DUMMYFUNCTION("""COMPUTED_VALUE"""),"充電電壓異常發出警告訊號")</f>
        <v>充電電壓異常發出警告訊號</v>
      </c>
      <c r="B7" s="23" t="b">
        <f>IFERROR(__xludf.DUMMYFUNCTION("""COMPUTED_VALUE"""),FALSE)</f>
        <v>0</v>
      </c>
      <c r="C7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7" s="25">
        <f>IFERROR(__xludf.DUMMYFUNCTION("""COMPUTED_VALUE"""),9.0)</f>
        <v>9</v>
      </c>
      <c r="E7" s="26">
        <f>IFERROR(__xludf.DUMMYFUNCTION("""COMPUTED_VALUE"""),0.4)</f>
        <v>0.4</v>
      </c>
      <c r="F7" s="21"/>
      <c r="G7" s="21"/>
      <c r="H7" s="21"/>
      <c r="I7" s="21"/>
      <c r="J7" s="18"/>
      <c r="K7" s="24" t="str">
        <f>IFERROR(__xludf.DUMMYFUNCTION("IF(TO_TEXT(B7)=""TRUE"", C7,"""")"),"")</f>
        <v/>
      </c>
      <c r="L7" s="23" t="str">
        <f>IF(K7="","", IF(K8="","；","、"))</f>
        <v/>
      </c>
    </row>
    <row r="8" ht="18.75" customHeight="1">
      <c r="A8" s="21"/>
      <c r="B8" s="23" t="b">
        <f>IFERROR(__xludf.DUMMYFUNCTION("""COMPUTED_VALUE"""),TRUE)</f>
        <v>1</v>
      </c>
      <c r="C8" s="24" t="str">
        <f>IFERROR(__xludf.DUMMYFUNCTION("""COMPUTED_VALUE"""),"BMS通過Test Report - IEC 60730-1 - Annex H測試")</f>
        <v>BMS通過Test Report - IEC 60730-1 - Annex H測試</v>
      </c>
      <c r="D8" s="21"/>
      <c r="E8" s="21"/>
      <c r="F8" s="21"/>
      <c r="G8" s="21"/>
      <c r="H8" s="21"/>
      <c r="I8" s="21"/>
      <c r="J8" s="18"/>
      <c r="K8" s="24" t="str">
        <f>IFERROR(__xludf.DUMMYFUNCTION("IF(TO_TEXT(B8)=""TRUE"", C8,"""")"),"BMS通過Test Report - IEC 60730-1 - Annex H測試")</f>
        <v>BMS通過Test Report - IEC 60730-1 - Annex H測試</v>
      </c>
      <c r="L8" s="23" t="str">
        <f>IF(K9="","；","、")</f>
        <v>、</v>
      </c>
    </row>
    <row r="9" ht="18.75" customHeight="1">
      <c r="A9" s="19"/>
      <c r="B9" s="23" t="b">
        <f>IFERROR(__xludf.DUMMYFUNCTION("""COMPUTED_VALUE"""),TRUE)</f>
        <v>1</v>
      </c>
      <c r="C9" s="24" t="str">
        <f>IFERROR(__xludf.DUMMYFUNCTION("""COMPUTED_VALUE"""),"異常訊號可同時通知現場及遠端管理人員")</f>
        <v>異常訊號可同時通知現場及遠端管理人員</v>
      </c>
      <c r="D9" s="19"/>
      <c r="E9" s="19"/>
      <c r="F9" s="21"/>
      <c r="G9" s="21"/>
      <c r="H9" s="21"/>
      <c r="I9" s="21"/>
      <c r="J9" s="18"/>
      <c r="K9" s="24" t="str">
        <f>IFERROR(__xludf.DUMMYFUNCTION("IF(TO_TEXT(B9)=""TRUE"", C9,"""")"),"異常訊號可同時通知現場及遠端管理人員")</f>
        <v>異常訊號可同時通知現場及遠端管理人員</v>
      </c>
      <c r="L9" s="23" t="str">
        <f>IF(K9="","","；")</f>
        <v>；</v>
      </c>
    </row>
    <row r="10" ht="18.75" customHeight="1">
      <c r="A10" s="13" t="str">
        <f>IFERROR(__xludf.DUMMYFUNCTION("""COMPUTED_VALUE"""),"充電電壓的歷史紀錄")</f>
        <v>充電電壓的歷史紀錄</v>
      </c>
      <c r="B10" s="14" t="str">
        <f>IFERROR(__xludf.DUMMYFUNCTION("""COMPUTED_VALUE"""),"歷史紀錄保存完整")</f>
        <v>歷史紀錄保存完整</v>
      </c>
      <c r="C10" s="6"/>
      <c r="D10" s="15">
        <f>IFERROR(__xludf.DUMMYFUNCTION("""COMPUTED_VALUE"""),8.6)</f>
        <v>8.6</v>
      </c>
      <c r="E10" s="16">
        <f>IFERROR(__xludf.DUMMYFUNCTION("""COMPUTED_VALUE"""),0.1)</f>
        <v>0.1</v>
      </c>
      <c r="F10" s="21"/>
      <c r="G10" s="21"/>
      <c r="H10" s="21"/>
      <c r="I10" s="21"/>
      <c r="J10" s="18"/>
      <c r="K10" s="13" t="str">
        <f>B10</f>
        <v>歷史紀錄保存完整</v>
      </c>
      <c r="L10" s="13"/>
    </row>
    <row r="11" ht="18.75" customHeight="1">
      <c r="A11" s="19"/>
      <c r="B11" s="20"/>
      <c r="C11" s="12"/>
      <c r="D11" s="19"/>
      <c r="E11" s="19"/>
      <c r="F11" s="19"/>
      <c r="G11" s="19"/>
      <c r="H11" s="19"/>
      <c r="I11" s="19"/>
      <c r="J11" s="18"/>
      <c r="K11" s="19"/>
      <c r="L11" s="19"/>
    </row>
    <row r="12" ht="42.0" customHeight="1">
      <c r="A12" s="1" t="str">
        <f>IFERROR(__xludf.DUMMYFUNCTION("""COMPUTED_VALUE"""),"充電電壓控制器故障 F1-a1-2(t)")</f>
        <v>充電電壓控制器故障 F1-a1-2(t)</v>
      </c>
      <c r="B12" s="2"/>
      <c r="C12" s="2"/>
      <c r="D12" s="2"/>
      <c r="E12" s="2"/>
      <c r="F12" s="2"/>
      <c r="G12" s="2"/>
      <c r="H12" s="3"/>
      <c r="I12" s="3"/>
      <c r="J12" s="4"/>
      <c r="K12" s="5" t="str">
        <f>"「"&amp;A12&amp;"」的調查問項包括"&amp;A14&amp;"、"&amp;A17&amp;"、"&amp;A20&amp;"等3項。其中，「"&amp;A14&amp;"」方面，設定條件為"&amp;K14&amp;L14&amp;K15&amp;L15&amp;K16&amp;L16&amp;"符合「"&amp;A17&amp;"」的條件，則為"&amp;K17&amp;"；符合「"&amp;A20&amp;"」的條件為"&amp;K20&amp;"。將確證後計算加權分數後，可靠度概率為"&amp;H14&amp;"，"&amp;A12&amp;"的故障率為"&amp;I14&amp;"。"</f>
        <v>「充電電壓控制器故障 F1-a1-2(t)」的調查問項包括充電電壓控制器通過認證、充電電壓控制器定期檢修、充電電壓控制器有故障監視等3項。其中，「充電電壓控制器通過認證」方面，設定條件為取得 UL 1973 認證證書、取得 CNS 62619 認證證書、符合 IEC 60730 之測試報告；符合「充電電壓控制器定期檢修」的條件，則為充電電壓控制器二年檢修1次；符合「充電電壓控制器有故障監視」的條件為控制器具有故障監視功能。將確證後計算加權分數後，可靠度概率為87.2%，充電電壓控制器故障 F1-a1-2(t)的故障率為12.8%。</v>
      </c>
      <c r="L12" s="6"/>
    </row>
    <row r="13" ht="42.0" customHeight="1">
      <c r="A13" s="7" t="str">
        <f>IFERROR(__xludf.DUMMYFUNCTION("""COMPUTED_VALUE"""),"確保可靠度的手段")</f>
        <v>確保可靠度的手段</v>
      </c>
      <c r="B13" s="8" t="str">
        <f>IFERROR(__xludf.DUMMYFUNCTION("""COMPUTED_VALUE"""),"確證方式")</f>
        <v>確證方式</v>
      </c>
      <c r="C13" s="9"/>
      <c r="D13" s="7" t="str">
        <f>IFERROR(__xludf.DUMMYFUNCTION("""COMPUTED_VALUE"""),"得分")</f>
        <v>得分</v>
      </c>
      <c r="E13" s="7" t="str">
        <f>IFERROR(__xludf.DUMMYFUNCTION("""COMPUTED_VALUE"""),"權重")</f>
        <v>權重</v>
      </c>
      <c r="F13" s="7" t="str">
        <f>IFERROR(__xludf.DUMMYFUNCTION("""COMPUTED_VALUE"""),"可靠度
 概率")</f>
        <v>可靠度
 概率</v>
      </c>
      <c r="G13" s="7" t="str">
        <f>IFERROR(__xludf.DUMMYFUNCTION("""COMPUTED_VALUE"""),"F1-a1-2(t)")</f>
        <v>F1-a1-2(t)</v>
      </c>
      <c r="H13" s="7" t="s">
        <v>2</v>
      </c>
      <c r="I13" s="7" t="s">
        <v>3</v>
      </c>
      <c r="J13" s="10"/>
      <c r="K13" s="11"/>
      <c r="L13" s="12"/>
    </row>
    <row r="14" ht="18.75" customHeight="1">
      <c r="A14" s="22" t="str">
        <f>IFERROR(__xludf.DUMMYFUNCTION("""COMPUTED_VALUE"""),"充電電壓控制器通過認證")</f>
        <v>充電電壓控制器通過認證</v>
      </c>
      <c r="B14" s="23" t="b">
        <f>IFERROR(__xludf.DUMMYFUNCTION("""COMPUTED_VALUE"""),TRUE)</f>
        <v>1</v>
      </c>
      <c r="C14" s="24" t="str">
        <f>IFERROR(__xludf.DUMMYFUNCTION("""COMPUTED_VALUE"""),"取得 UL 1973 認證證書")</f>
        <v>取得 UL 1973 認證證書</v>
      </c>
      <c r="D14" s="25">
        <f>IFERROR(__xludf.DUMMYFUNCTION("""COMPUTED_VALUE"""),9.2)</f>
        <v>9.2</v>
      </c>
      <c r="E14" s="26">
        <f>IFERROR(__xludf.DUMMYFUNCTION("""COMPUTED_VALUE"""),0.4)</f>
        <v>0.4</v>
      </c>
      <c r="F14" s="17">
        <f>IFERROR(__xludf.DUMMYFUNCTION("""COMPUTED_VALUE"""),0.8719999999999999)</f>
        <v>0.872</v>
      </c>
      <c r="G14" s="17">
        <f>IFERROR(__xludf.DUMMYFUNCTION("""COMPUTED_VALUE"""),0.1280000000000001)</f>
        <v>0.128</v>
      </c>
      <c r="H14" s="17" t="str">
        <f t="shared" ref="H14:I14" si="2">TEXT(ROUND(F14,3),"0.0%")</f>
        <v>87.2%</v>
      </c>
      <c r="I14" s="17" t="str">
        <f t="shared" si="2"/>
        <v>12.8%</v>
      </c>
      <c r="J14" s="18"/>
      <c r="K14" s="24" t="str">
        <f>IFERROR(__xludf.DUMMYFUNCTION("IF(TO_TEXT(B14)=""TRUE"", C14,"""")"),"取得 UL 1973 認證證書")</f>
        <v>取得 UL 1973 認證證書</v>
      </c>
      <c r="L14" s="23" t="str">
        <f>IF(K14="","", IF(K15="","；","、"))</f>
        <v>、</v>
      </c>
    </row>
    <row r="15" ht="18.75" customHeight="1">
      <c r="A15" s="21"/>
      <c r="B15" s="23" t="b">
        <f>IFERROR(__xludf.DUMMYFUNCTION("""COMPUTED_VALUE"""),TRUE)</f>
        <v>1</v>
      </c>
      <c r="C15" s="24" t="str">
        <f>IFERROR(__xludf.DUMMYFUNCTION("""COMPUTED_VALUE"""),"取得 CNS 62619 認證證書")</f>
        <v>取得 CNS 62619 認證證書</v>
      </c>
      <c r="D15" s="21"/>
      <c r="E15" s="21"/>
      <c r="F15" s="21"/>
      <c r="G15" s="21"/>
      <c r="H15" s="21"/>
      <c r="I15" s="21"/>
      <c r="J15" s="18"/>
      <c r="K15" s="24" t="str">
        <f>IFERROR(__xludf.DUMMYFUNCTION("IF(TO_TEXT(B15)=""TRUE"", C15,"""")"),"取得 CNS 62619 認證證書")</f>
        <v>取得 CNS 62619 認證證書</v>
      </c>
      <c r="L15" s="23" t="str">
        <f>IF(K16="","；","、")</f>
        <v>、</v>
      </c>
    </row>
    <row r="16" ht="18.75" customHeight="1">
      <c r="A16" s="19"/>
      <c r="B16" s="23" t="b">
        <f>IFERROR(__xludf.DUMMYFUNCTION("""COMPUTED_VALUE"""),TRUE)</f>
        <v>1</v>
      </c>
      <c r="C16" s="24" t="str">
        <f>IFERROR(__xludf.DUMMYFUNCTION("""COMPUTED_VALUE"""),"符合 IEC 60730 之測試報告")</f>
        <v>符合 IEC 60730 之測試報告</v>
      </c>
      <c r="D16" s="19"/>
      <c r="E16" s="19"/>
      <c r="F16" s="21"/>
      <c r="G16" s="21"/>
      <c r="H16" s="21"/>
      <c r="I16" s="21"/>
      <c r="J16" s="18"/>
      <c r="K16" s="24" t="str">
        <f>IFERROR(__xludf.DUMMYFUNCTION("IF(TO_TEXT(B16)=""TRUE"", C16,"""")"),"符合 IEC 60730 之測試報告")</f>
        <v>符合 IEC 60730 之測試報告</v>
      </c>
      <c r="L16" s="23" t="str">
        <f>IF(K16="","","；")</f>
        <v>；</v>
      </c>
    </row>
    <row r="17" ht="18.75" customHeight="1">
      <c r="A17" s="13" t="str">
        <f>IFERROR(__xludf.DUMMYFUNCTION("""COMPUTED_VALUE"""),"充電電壓控制器定期檢修")</f>
        <v>充電電壓控制器定期檢修</v>
      </c>
      <c r="B17" s="14" t="str">
        <f>IFERROR(__xludf.DUMMYFUNCTION("""COMPUTED_VALUE"""),"充電電壓控制器二年檢修1次")</f>
        <v>充電電壓控制器二年檢修1次</v>
      </c>
      <c r="C17" s="6"/>
      <c r="D17" s="15">
        <f>IFERROR(__xludf.DUMMYFUNCTION("""COMPUTED_VALUE"""),8.2)</f>
        <v>8.2</v>
      </c>
      <c r="E17" s="16">
        <f>IFERROR(__xludf.DUMMYFUNCTION("""COMPUTED_VALUE"""),0.3)</f>
        <v>0.3</v>
      </c>
      <c r="F17" s="21"/>
      <c r="G17" s="21"/>
      <c r="H17" s="21"/>
      <c r="I17" s="21"/>
      <c r="J17" s="18"/>
      <c r="K17" s="13" t="str">
        <f>B17</f>
        <v>充電電壓控制器二年檢修1次</v>
      </c>
      <c r="L17" s="13"/>
    </row>
    <row r="18" ht="18.75" customHeight="1">
      <c r="A18" s="21"/>
      <c r="B18" s="27"/>
      <c r="C18" s="28"/>
      <c r="D18" s="21"/>
      <c r="E18" s="21"/>
      <c r="F18" s="21"/>
      <c r="G18" s="21"/>
      <c r="H18" s="21"/>
      <c r="I18" s="21"/>
      <c r="J18" s="18"/>
      <c r="K18" s="21"/>
      <c r="L18" s="21"/>
    </row>
    <row r="19" ht="18.75" customHeight="1">
      <c r="A19" s="19"/>
      <c r="B19" s="20"/>
      <c r="C19" s="12"/>
      <c r="D19" s="19"/>
      <c r="E19" s="19"/>
      <c r="F19" s="21"/>
      <c r="G19" s="21"/>
      <c r="H19" s="21"/>
      <c r="I19" s="21"/>
      <c r="J19" s="18"/>
      <c r="K19" s="19"/>
      <c r="L19" s="19"/>
    </row>
    <row r="20" ht="18.75" customHeight="1">
      <c r="A20" s="13" t="str">
        <f>IFERROR(__xludf.DUMMYFUNCTION("""COMPUTED_VALUE"""),"充電電壓控制器有故障監視")</f>
        <v>充電電壓控制器有故障監視</v>
      </c>
      <c r="B20" s="14" t="str">
        <f>IFERROR(__xludf.DUMMYFUNCTION("""COMPUTED_VALUE"""),"控制器具有故障監視功能")</f>
        <v>控制器具有故障監視功能</v>
      </c>
      <c r="C20" s="6"/>
      <c r="D20" s="15">
        <f>IFERROR(__xludf.DUMMYFUNCTION("""COMPUTED_VALUE"""),8.6)</f>
        <v>8.6</v>
      </c>
      <c r="E20" s="16">
        <f>IFERROR(__xludf.DUMMYFUNCTION("""COMPUTED_VALUE"""),0.3)</f>
        <v>0.3</v>
      </c>
      <c r="F20" s="21"/>
      <c r="G20" s="21"/>
      <c r="H20" s="21"/>
      <c r="I20" s="21"/>
      <c r="J20" s="18"/>
      <c r="K20" s="13" t="str">
        <f>B20</f>
        <v>控制器具有故障監視功能</v>
      </c>
      <c r="L20" s="13"/>
    </row>
    <row r="21" ht="18.75" customHeight="1">
      <c r="A21" s="19"/>
      <c r="B21" s="20"/>
      <c r="C21" s="12"/>
      <c r="D21" s="19"/>
      <c r="E21" s="19"/>
      <c r="F21" s="19"/>
      <c r="G21" s="19"/>
      <c r="H21" s="19"/>
      <c r="I21" s="19"/>
      <c r="J21" s="29"/>
      <c r="K21" s="19"/>
      <c r="L21" s="19"/>
    </row>
    <row r="22" ht="51.0" customHeight="1">
      <c r="A22" s="1" t="str">
        <f>IFERROR(__xludf.DUMMYFUNCTION("""COMPUTED_VALUE"""),"過電壓保護設定不當 F1-a2-1(t)")</f>
        <v>過電壓保護設定不當 F1-a2-1(t)</v>
      </c>
      <c r="B22" s="2"/>
      <c r="C22" s="2"/>
      <c r="D22" s="2"/>
      <c r="E22" s="2"/>
      <c r="F22" s="2"/>
      <c r="G22" s="2"/>
      <c r="H22" s="3"/>
      <c r="I22" s="3"/>
      <c r="J22" s="4"/>
      <c r="K22" s="5" t="str">
        <f>"「"&amp;A22&amp;"」的調查問項包括"&amp;A24&amp;"、"&amp;A26&amp;"、"&amp;A29&amp;"等3項。其中，「"&amp;A24&amp;"」方面，設定條件為"&amp;K24&amp;"；"&amp;"符合「"&amp;A26&amp;"」的條件，則為"&amp;K26&amp;L26&amp;K27&amp;L27&amp;"符合「"&amp;A29&amp;"」的條件為"&amp;K29&amp;"。將確證後計算加權分數後，可靠度概率為"&amp;H24&amp;"，"&amp;A22&amp;"的故障率為"&amp;I24&amp;"。"</f>
        <v>「過電壓保護設定不當 F1-a2-1(t)」的調查問項包括符合規定的過電壓保護設定、過電壓保護動作移報訊號、過電壓保護的歷史紀錄等3項。其中，「符合規定的過電壓保護設定」方面，設定條件為經由第三方查核確認；符合「過電壓保護動作移報訊號」的條件，則為BMS通過Test Report - IEC 60730-1 - Annex H測試、符合「過電壓保護的歷史紀錄」的條件為歷史紀錄保存完整。將確證後計算加權分數後，可靠度概率為86.8%，過電壓保護設定不當 F1-a2-1(t)的故障率為13.2%。</v>
      </c>
      <c r="L22" s="6"/>
    </row>
    <row r="23" ht="51.0" customHeight="1">
      <c r="A23" s="7" t="str">
        <f>IFERROR(__xludf.DUMMYFUNCTION("""COMPUTED_VALUE"""),"確保可靠度的手段")</f>
        <v>確保可靠度的手段</v>
      </c>
      <c r="B23" s="8" t="str">
        <f>IFERROR(__xludf.DUMMYFUNCTION("""COMPUTED_VALUE"""),"確證方式")</f>
        <v>確證方式</v>
      </c>
      <c r="C23" s="9"/>
      <c r="D23" s="7" t="str">
        <f>IFERROR(__xludf.DUMMYFUNCTION("""COMPUTED_VALUE"""),"得分")</f>
        <v>得分</v>
      </c>
      <c r="E23" s="7" t="str">
        <f>IFERROR(__xludf.DUMMYFUNCTION("""COMPUTED_VALUE"""),"權重")</f>
        <v>權重</v>
      </c>
      <c r="F23" s="7" t="str">
        <f>IFERROR(__xludf.DUMMYFUNCTION("""COMPUTED_VALUE"""),"可靠度概率")</f>
        <v>可靠度概率</v>
      </c>
      <c r="G23" s="7" t="str">
        <f>IFERROR(__xludf.DUMMYFUNCTION("""COMPUTED_VALUE"""),"F1-a2-1(t)")</f>
        <v>F1-a2-1(t)</v>
      </c>
      <c r="H23" s="7" t="s">
        <v>0</v>
      </c>
      <c r="I23" s="7" t="s">
        <v>4</v>
      </c>
      <c r="J23" s="10"/>
      <c r="K23" s="11"/>
      <c r="L23" s="12"/>
    </row>
    <row r="24" ht="18.75" customHeight="1">
      <c r="A24" s="13" t="str">
        <f>IFERROR(__xludf.DUMMYFUNCTION("""COMPUTED_VALUE"""),"符合規定的過電壓保護設定")</f>
        <v>符合規定的過電壓保護設定</v>
      </c>
      <c r="B24" s="14" t="str">
        <f>IFERROR(__xludf.DUMMYFUNCTION("""COMPUTED_VALUE"""),"經由第三方查核確認")</f>
        <v>經由第三方查核確認</v>
      </c>
      <c r="C24" s="6"/>
      <c r="D24" s="15">
        <f>IFERROR(__xludf.DUMMYFUNCTION("""COMPUTED_VALUE"""),8.5)</f>
        <v>8.5</v>
      </c>
      <c r="E24" s="16">
        <f>IFERROR(__xludf.DUMMYFUNCTION("""COMPUTED_VALUE"""),0.4)</f>
        <v>0.4</v>
      </c>
      <c r="F24" s="17">
        <f>IFERROR(__xludf.DUMMYFUNCTION("""COMPUTED_VALUE"""),0.868)</f>
        <v>0.868</v>
      </c>
      <c r="G24" s="17">
        <f>IFERROR(__xludf.DUMMYFUNCTION("""COMPUTED_VALUE"""),0.132)</f>
        <v>0.132</v>
      </c>
      <c r="H24" s="17" t="str">
        <f t="shared" ref="H24:I24" si="3">TEXT(ROUND(F24,3),"0.0%")</f>
        <v>86.8%</v>
      </c>
      <c r="I24" s="17" t="str">
        <f t="shared" si="3"/>
        <v>13.2%</v>
      </c>
      <c r="J24" s="18"/>
      <c r="K24" s="13" t="str">
        <f>B24</f>
        <v>經由第三方查核確認</v>
      </c>
      <c r="L24" s="13"/>
    </row>
    <row r="25" ht="18.75" customHeight="1">
      <c r="A25" s="19"/>
      <c r="B25" s="20"/>
      <c r="C25" s="12"/>
      <c r="D25" s="19"/>
      <c r="E25" s="19"/>
      <c r="F25" s="21"/>
      <c r="G25" s="21"/>
      <c r="H25" s="21"/>
      <c r="I25" s="21"/>
      <c r="J25" s="18"/>
      <c r="K25" s="19"/>
      <c r="L25" s="19"/>
    </row>
    <row r="26" ht="18.75" customHeight="1">
      <c r="A26" s="22" t="str">
        <f>IFERROR(__xludf.DUMMYFUNCTION("""COMPUTED_VALUE"""),"過電壓保護動作移報訊號")</f>
        <v>過電壓保護動作移報訊號</v>
      </c>
      <c r="B26" s="23" t="b">
        <f>IFERROR(__xludf.DUMMYFUNCTION("""COMPUTED_VALUE"""),FALSE)</f>
        <v>0</v>
      </c>
      <c r="C26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26" s="25">
        <f>IFERROR(__xludf.DUMMYFUNCTION("""COMPUTED_VALUE"""),9.0)</f>
        <v>9</v>
      </c>
      <c r="E26" s="26">
        <f>IFERROR(__xludf.DUMMYFUNCTION("""COMPUTED_VALUE"""),0.3)</f>
        <v>0.3</v>
      </c>
      <c r="F26" s="21"/>
      <c r="G26" s="21"/>
      <c r="H26" s="21"/>
      <c r="I26" s="21"/>
      <c r="J26" s="18"/>
      <c r="K26" s="24" t="str">
        <f>IFERROR(__xludf.DUMMYFUNCTION("IF(TO_TEXT(B26)=""TRUE"", C26,"""")"),"")</f>
        <v/>
      </c>
      <c r="L26" s="23" t="str">
        <f>IF(K26="","", IF(K27="","；","、"))</f>
        <v/>
      </c>
    </row>
    <row r="27" ht="18.75" customHeight="1">
      <c r="A27" s="21"/>
      <c r="B27" s="23" t="b">
        <f>IFERROR(__xludf.DUMMYFUNCTION("""COMPUTED_VALUE"""),TRUE)</f>
        <v>1</v>
      </c>
      <c r="C27" s="24" t="str">
        <f>IFERROR(__xludf.DUMMYFUNCTION("""COMPUTED_VALUE"""),"BMS通過Test Report - IEC 60730-1 - Annex H測試")</f>
        <v>BMS通過Test Report - IEC 60730-1 - Annex H測試</v>
      </c>
      <c r="D27" s="21"/>
      <c r="E27" s="21"/>
      <c r="F27" s="21"/>
      <c r="G27" s="21"/>
      <c r="H27" s="21"/>
      <c r="I27" s="21"/>
      <c r="J27" s="18"/>
      <c r="K27" s="24" t="str">
        <f>IFERROR(__xludf.DUMMYFUNCTION("IF(TO_TEXT(B27)=""TRUE"", C27,"""")"),"BMS通過Test Report - IEC 60730-1 - Annex H測試")</f>
        <v>BMS通過Test Report - IEC 60730-1 - Annex H測試</v>
      </c>
      <c r="L27" s="23" t="str">
        <f>IF(K28="","；","、")</f>
        <v>、</v>
      </c>
    </row>
    <row r="28" ht="18.75" customHeight="1">
      <c r="A28" s="19"/>
      <c r="B28" s="23" t="b">
        <f>IFERROR(__xludf.DUMMYFUNCTION("""COMPUTED_VALUE"""),TRUE)</f>
        <v>1</v>
      </c>
      <c r="C28" s="24" t="str">
        <f>IFERROR(__xludf.DUMMYFUNCTION("""COMPUTED_VALUE"""),"異常訊號可同時通知現場及遠端管理人員")</f>
        <v>異常訊號可同時通知現場及遠端管理人員</v>
      </c>
      <c r="D28" s="19"/>
      <c r="E28" s="19"/>
      <c r="F28" s="21"/>
      <c r="G28" s="21"/>
      <c r="H28" s="21"/>
      <c r="I28" s="21"/>
      <c r="J28" s="18"/>
      <c r="K28" s="24" t="str">
        <f>IFERROR(__xludf.DUMMYFUNCTION("IF(TO_TEXT(B28)=""TRUE"", C28,"""")"),"異常訊號可同時通知現場及遠端管理人員")</f>
        <v>異常訊號可同時通知現場及遠端管理人員</v>
      </c>
      <c r="L28" s="23" t="str">
        <f>IF(K28="","","；")</f>
        <v>；</v>
      </c>
    </row>
    <row r="29" ht="18.75" customHeight="1">
      <c r="A29" s="13" t="str">
        <f>IFERROR(__xludf.DUMMYFUNCTION("""COMPUTED_VALUE"""),"過電壓保護的歷史紀錄")</f>
        <v>過電壓保護的歷史紀錄</v>
      </c>
      <c r="B29" s="14" t="str">
        <f>IFERROR(__xludf.DUMMYFUNCTION("""COMPUTED_VALUE"""),"歷史紀錄保存完整")</f>
        <v>歷史紀錄保存完整</v>
      </c>
      <c r="C29" s="6"/>
      <c r="D29" s="15">
        <f>IFERROR(__xludf.DUMMYFUNCTION("""COMPUTED_VALUE"""),8.6)</f>
        <v>8.6</v>
      </c>
      <c r="E29" s="16">
        <f>IFERROR(__xludf.DUMMYFUNCTION("""COMPUTED_VALUE"""),0.3)</f>
        <v>0.3</v>
      </c>
      <c r="F29" s="21"/>
      <c r="G29" s="21"/>
      <c r="H29" s="21"/>
      <c r="I29" s="21"/>
      <c r="J29" s="18"/>
      <c r="K29" s="13" t="str">
        <f>B29</f>
        <v>歷史紀錄保存完整</v>
      </c>
      <c r="L29" s="13"/>
    </row>
    <row r="30" ht="18.75" customHeight="1">
      <c r="A30" s="19"/>
      <c r="B30" s="20"/>
      <c r="C30" s="12"/>
      <c r="D30" s="19"/>
      <c r="E30" s="19"/>
      <c r="F30" s="19"/>
      <c r="G30" s="19"/>
      <c r="H30" s="19"/>
      <c r="I30" s="19"/>
      <c r="J30" s="18"/>
      <c r="K30" s="19"/>
      <c r="L30" s="19"/>
    </row>
    <row r="31" ht="39.0" customHeight="1">
      <c r="A31" s="1" t="str">
        <f>IFERROR(__xludf.DUMMYFUNCTION("""COMPUTED_VALUE"""),"過電壓保護裝置故障 F1-a2-2(t)")</f>
        <v>過電壓保護裝置故障 F1-a2-2(t)</v>
      </c>
      <c r="B31" s="2"/>
      <c r="C31" s="2"/>
      <c r="D31" s="2"/>
      <c r="E31" s="2"/>
      <c r="F31" s="2"/>
      <c r="G31" s="2"/>
      <c r="H31" s="3"/>
      <c r="I31" s="3"/>
      <c r="J31" s="4"/>
      <c r="K31" s="5" t="str">
        <f>"「"&amp;A31&amp;"」的調查問項包括"&amp;A33&amp;"、"&amp;A36&amp;"等2項。其中，「"&amp;A33&amp;"」方面，設定條件為"&amp;K33&amp;L33&amp;K34&amp;L34&amp;K35&amp;L35&amp;"符合「"&amp;A36&amp;"」的條件，則為"&amp;K36&amp;"。將確證後計算加權分數後，可靠度概率為"&amp;H33&amp;"，"&amp;A31&amp;"的故障率為"&amp;I33&amp;"。"</f>
        <v>「過電壓保護裝置故障 F1-a2-2(t)」的調查問項包括過電壓保護裝置通過認證、過電壓保護裝置定期檢修等2項。其中，「過電壓保護裝置通過認證」方面，設定條件為取得 UL 1973 認證證書、取得 CNS 62619 認證證書、符合 IEC 60730 之測試報告；符合「過電壓保護裝置定期檢修」的條件，則為過電壓保護裝置二年檢修1次。將確證後計算加權分數後，可靠度概率為88.0%，過電壓保護裝置故障 F1-a2-2(t)的故障率為12.0%。</v>
      </c>
      <c r="L31" s="6"/>
    </row>
    <row r="32" ht="39.0" customHeight="1">
      <c r="A32" s="7" t="str">
        <f>IFERROR(__xludf.DUMMYFUNCTION("""COMPUTED_VALUE"""),"確保可靠度的手段")</f>
        <v>確保可靠度的手段</v>
      </c>
      <c r="B32" s="8" t="str">
        <f>IFERROR(__xludf.DUMMYFUNCTION("""COMPUTED_VALUE"""),"確證方式")</f>
        <v>確證方式</v>
      </c>
      <c r="C32" s="9"/>
      <c r="D32" s="7" t="str">
        <f>IFERROR(__xludf.DUMMYFUNCTION("""COMPUTED_VALUE"""),"得分")</f>
        <v>得分</v>
      </c>
      <c r="E32" s="7" t="str">
        <f>IFERROR(__xludf.DUMMYFUNCTION("""COMPUTED_VALUE"""),"權重")</f>
        <v>權重</v>
      </c>
      <c r="F32" s="30" t="str">
        <f>IFERROR(__xludf.DUMMYFUNCTION("""COMPUTED_VALUE"""),"可靠度
 概率")</f>
        <v>可靠度
 概率</v>
      </c>
      <c r="G32" s="30" t="str">
        <f>IFERROR(__xludf.DUMMYFUNCTION("""COMPUTED_VALUE"""),"F1-a2-2(t)")</f>
        <v>F1-a2-2(t)</v>
      </c>
      <c r="H32" s="30" t="s">
        <v>2</v>
      </c>
      <c r="I32" s="30" t="s">
        <v>5</v>
      </c>
      <c r="J32" s="29"/>
      <c r="K32" s="11"/>
      <c r="L32" s="12"/>
    </row>
    <row r="33" ht="18.75" customHeight="1">
      <c r="A33" s="22" t="str">
        <f>IFERROR(__xludf.DUMMYFUNCTION("""COMPUTED_VALUE"""),"過電壓保護裝置通過認證")</f>
        <v>過電壓保護裝置通過認證</v>
      </c>
      <c r="B33" s="23" t="b">
        <f>IFERROR(__xludf.DUMMYFUNCTION("""COMPUTED_VALUE"""),TRUE)</f>
        <v>1</v>
      </c>
      <c r="C33" s="24" t="str">
        <f>IFERROR(__xludf.DUMMYFUNCTION("""COMPUTED_VALUE"""),"取得 UL 1973 認證證書")</f>
        <v>取得 UL 1973 認證證書</v>
      </c>
      <c r="D33" s="25">
        <f>IFERROR(__xludf.DUMMYFUNCTION("""COMPUTED_VALUE"""),9.2)</f>
        <v>9.2</v>
      </c>
      <c r="E33" s="26">
        <f>IFERROR(__xludf.DUMMYFUNCTION("""COMPUTED_VALUE"""),0.6)</f>
        <v>0.6</v>
      </c>
      <c r="F33" s="17">
        <f>IFERROR(__xludf.DUMMYFUNCTION("""COMPUTED_VALUE"""),0.8799999999999999)</f>
        <v>0.88</v>
      </c>
      <c r="G33" s="17">
        <f>IFERROR(__xludf.DUMMYFUNCTION("""COMPUTED_VALUE"""),0.1200000000000001)</f>
        <v>0.12</v>
      </c>
      <c r="H33" s="17" t="str">
        <f t="shared" ref="H33:I33" si="4">TEXT(ROUND(F33,3),"0.0%")</f>
        <v>88.0%</v>
      </c>
      <c r="I33" s="17" t="str">
        <f t="shared" si="4"/>
        <v>12.0%</v>
      </c>
      <c r="J33" s="29"/>
      <c r="K33" s="24" t="str">
        <f>IFERROR(__xludf.DUMMYFUNCTION("IF(TO_TEXT(B33)=""TRUE"", C33,"""")"),"取得 UL 1973 認證證書")</f>
        <v>取得 UL 1973 認證證書</v>
      </c>
      <c r="L33" s="23" t="str">
        <f>IF(K33="","", IF(K34="","；","、"))</f>
        <v>、</v>
      </c>
    </row>
    <row r="34" ht="18.75" customHeight="1">
      <c r="A34" s="21"/>
      <c r="B34" s="23" t="b">
        <f>IFERROR(__xludf.DUMMYFUNCTION("""COMPUTED_VALUE"""),TRUE)</f>
        <v>1</v>
      </c>
      <c r="C34" s="24" t="str">
        <f>IFERROR(__xludf.DUMMYFUNCTION("""COMPUTED_VALUE"""),"取得 CNS 62619 認證證書")</f>
        <v>取得 CNS 62619 認證證書</v>
      </c>
      <c r="D34" s="21"/>
      <c r="E34" s="21"/>
      <c r="F34" s="21"/>
      <c r="G34" s="21"/>
      <c r="H34" s="21"/>
      <c r="I34" s="21"/>
      <c r="J34" s="29"/>
      <c r="K34" s="24" t="str">
        <f>IFERROR(__xludf.DUMMYFUNCTION("IF(TO_TEXT(B34)=""TRUE"", C34,"""")"),"取得 CNS 62619 認證證書")</f>
        <v>取得 CNS 62619 認證證書</v>
      </c>
      <c r="L34" s="23" t="str">
        <f>IF(K35="","；","、")</f>
        <v>、</v>
      </c>
    </row>
    <row r="35" ht="18.75" customHeight="1">
      <c r="A35" s="19"/>
      <c r="B35" s="23" t="b">
        <f>IFERROR(__xludf.DUMMYFUNCTION("""COMPUTED_VALUE"""),TRUE)</f>
        <v>1</v>
      </c>
      <c r="C35" s="24" t="str">
        <f>IFERROR(__xludf.DUMMYFUNCTION("""COMPUTED_VALUE"""),"符合 IEC 60730 之測試報告")</f>
        <v>符合 IEC 60730 之測試報告</v>
      </c>
      <c r="D35" s="19"/>
      <c r="E35" s="19"/>
      <c r="F35" s="21"/>
      <c r="G35" s="21"/>
      <c r="H35" s="21"/>
      <c r="I35" s="21"/>
      <c r="J35" s="29"/>
      <c r="K35" s="24" t="str">
        <f>IFERROR(__xludf.DUMMYFUNCTION("IF(TO_TEXT(B35)=""TRUE"", C35,"""")"),"符合 IEC 60730 之測試報告")</f>
        <v>符合 IEC 60730 之測試報告</v>
      </c>
      <c r="L35" s="23" t="str">
        <f>IF(K35="","","；")</f>
        <v>；</v>
      </c>
    </row>
    <row r="36" ht="18.75" customHeight="1">
      <c r="A36" s="13" t="str">
        <f>IFERROR(__xludf.DUMMYFUNCTION("""COMPUTED_VALUE"""),"過電壓保護裝置定期檢修")</f>
        <v>過電壓保護裝置定期檢修</v>
      </c>
      <c r="B36" s="14" t="str">
        <f>IFERROR(__xludf.DUMMYFUNCTION("""COMPUTED_VALUE"""),"過電壓保護裝置二年檢修1次")</f>
        <v>過電壓保護裝置二年檢修1次</v>
      </c>
      <c r="C36" s="6"/>
      <c r="D36" s="15">
        <f>IFERROR(__xludf.DUMMYFUNCTION("""COMPUTED_VALUE"""),8.2)</f>
        <v>8.2</v>
      </c>
      <c r="E36" s="16">
        <f>IFERROR(__xludf.DUMMYFUNCTION("""COMPUTED_VALUE"""),0.4)</f>
        <v>0.4</v>
      </c>
      <c r="F36" s="21"/>
      <c r="G36" s="21"/>
      <c r="H36" s="21"/>
      <c r="I36" s="21"/>
      <c r="J36" s="29"/>
      <c r="K36" s="13" t="str">
        <f>B36</f>
        <v>過電壓保護裝置二年檢修1次</v>
      </c>
      <c r="L36" s="13"/>
    </row>
    <row r="37" ht="18.75" customHeight="1">
      <c r="A37" s="21"/>
      <c r="B37" s="27"/>
      <c r="C37" s="28"/>
      <c r="D37" s="21"/>
      <c r="E37" s="21"/>
      <c r="F37" s="21"/>
      <c r="G37" s="21"/>
      <c r="H37" s="21"/>
      <c r="I37" s="21"/>
      <c r="J37" s="29"/>
      <c r="K37" s="21"/>
      <c r="L37" s="21"/>
    </row>
    <row r="38" ht="18.75" customHeight="1">
      <c r="A38" s="19"/>
      <c r="B38" s="20"/>
      <c r="C38" s="12"/>
      <c r="D38" s="19"/>
      <c r="E38" s="19"/>
      <c r="F38" s="19"/>
      <c r="G38" s="19"/>
      <c r="H38" s="19"/>
      <c r="I38" s="19"/>
      <c r="J38" s="29"/>
      <c r="K38" s="19"/>
      <c r="L38" s="19"/>
    </row>
    <row r="39" ht="48.75" customHeight="1">
      <c r="A39" s="1" t="str">
        <f>IFERROR(__xludf.DUMMYFUNCTION("""COMPUTED_VALUE"""),"充電電流設定不當 F1-b1-1(t)")</f>
        <v>充電電流設定不當 F1-b1-1(t)</v>
      </c>
      <c r="B39" s="2"/>
      <c r="C39" s="2"/>
      <c r="D39" s="2"/>
      <c r="E39" s="2"/>
      <c r="F39" s="2"/>
      <c r="G39" s="2"/>
      <c r="H39" s="3"/>
      <c r="I39" s="3"/>
      <c r="J39" s="4"/>
      <c r="K39" s="5" t="str">
        <f>"在故障樹的第3階火災成因分析中，「"&amp;A39&amp;"」的調查問項包括"&amp;A41&amp;"、"&amp;A43&amp;"、"&amp;A45&amp;"、"&amp;A48&amp;"等4項。其中，「"&amp;A41&amp;"」方面，設定條件為"&amp;K41&amp;"；"&amp;"符合「"&amp;A43&amp;"」的條件，則為"&amp;K43&amp;L43&amp;K44&amp;L44&amp;"符合「"&amp;A45&amp;"」的條件為"&amp;K45&amp;L45&amp;K46&amp;L46&amp;K47&amp;L47&amp;"「"&amp;A48&amp;"」的設定為"&amp;K48&amp;"。將確證後計算加權分數後，可靠度概率為"&amp;H41&amp;"，"&amp;A39&amp;"的故障率為"&amp;I41&amp;"。"</f>
        <v>在故障樹的第3階火災成因分析中，「充電電流設定不當 F1-b1-1(t)」的調查問項包括符合規定的充電電流設定、充電電流受到遠端監控、充電電流異常發出警告訊號、充電電流的歷史紀錄等4項。其中，「符合規定的充電電流設定」方面，設定條件為經由第三方查核確認；符合「充電電流受到遠端監控」的條件，則為模組充電電流受到遠端監控、機櫃充電電流受到遠端監控；符合「充電電流異常發出警告訊號」的條件為BMS通過Test Report - IEC 60730-1 - Annex H測試、異常訊號可同時通知現場及遠端管理人員；「充電電流的歷史紀錄」的設定為歷史紀錄保存完整。將確證後計算加權分數後，可靠度概率為88.4%，充電電流設定不當 F1-b1-1(t)的故障率為11.7%。</v>
      </c>
      <c r="L39" s="6"/>
    </row>
    <row r="40" ht="48.75" customHeight="1">
      <c r="A40" s="7" t="str">
        <f>IFERROR(__xludf.DUMMYFUNCTION("""COMPUTED_VALUE"""),"確保可靠度的手段")</f>
        <v>確保可靠度的手段</v>
      </c>
      <c r="B40" s="8" t="str">
        <f>IFERROR(__xludf.DUMMYFUNCTION("""COMPUTED_VALUE"""),"確證方式")</f>
        <v>確證方式</v>
      </c>
      <c r="C40" s="9"/>
      <c r="D40" s="7" t="str">
        <f>IFERROR(__xludf.DUMMYFUNCTION("""COMPUTED_VALUE"""),"得分")</f>
        <v>得分</v>
      </c>
      <c r="E40" s="7" t="str">
        <f>IFERROR(__xludf.DUMMYFUNCTION("""COMPUTED_VALUE"""),"權重")</f>
        <v>權重</v>
      </c>
      <c r="F40" s="7" t="str">
        <f>IFERROR(__xludf.DUMMYFUNCTION("""COMPUTED_VALUE"""),"可靠度概率")</f>
        <v>可靠度概率</v>
      </c>
      <c r="G40" s="31" t="str">
        <f>IFERROR(__xludf.DUMMYFUNCTION("""COMPUTED_VALUE"""),"F1-b1-1(t)")</f>
        <v>F1-b1-1(t)</v>
      </c>
      <c r="H40" s="7" t="s">
        <v>0</v>
      </c>
      <c r="I40" s="31" t="s">
        <v>6</v>
      </c>
      <c r="J40" s="10"/>
      <c r="K40" s="11"/>
      <c r="L40" s="12"/>
    </row>
    <row r="41" ht="18.75" customHeight="1">
      <c r="A41" s="13" t="str">
        <f>IFERROR(__xludf.DUMMYFUNCTION("""COMPUTED_VALUE"""),"符合規定的充電電流設定")</f>
        <v>符合規定的充電電流設定</v>
      </c>
      <c r="B41" s="14" t="str">
        <f>IFERROR(__xludf.DUMMYFUNCTION("""COMPUTED_VALUE"""),"經由第三方查核確認")</f>
        <v>經由第三方查核確認</v>
      </c>
      <c r="C41" s="6"/>
      <c r="D41" s="15">
        <f>IFERROR(__xludf.DUMMYFUNCTION("""COMPUTED_VALUE"""),8.5)</f>
        <v>8.5</v>
      </c>
      <c r="E41" s="16">
        <f>IFERROR(__xludf.DUMMYFUNCTION("""COMPUTED_VALUE"""),0.25)</f>
        <v>0.25</v>
      </c>
      <c r="F41" s="17">
        <f>IFERROR(__xludf.DUMMYFUNCTION("""COMPUTED_VALUE"""),0.8835)</f>
        <v>0.8835</v>
      </c>
      <c r="G41" s="17">
        <f>IFERROR(__xludf.DUMMYFUNCTION("""COMPUTED_VALUE"""),0.11650000000000005)</f>
        <v>0.1165</v>
      </c>
      <c r="H41" s="17" t="str">
        <f t="shared" ref="H41:I41" si="5">TEXT(ROUND(F41,3),"0.0%")</f>
        <v>88.4%</v>
      </c>
      <c r="I41" s="17" t="str">
        <f t="shared" si="5"/>
        <v>11.7%</v>
      </c>
      <c r="J41" s="18"/>
      <c r="K41" s="13" t="str">
        <f>B41</f>
        <v>經由第三方查核確認</v>
      </c>
      <c r="L41" s="13"/>
    </row>
    <row r="42" ht="18.75" customHeight="1">
      <c r="A42" s="19"/>
      <c r="B42" s="20"/>
      <c r="C42" s="12"/>
      <c r="D42" s="19"/>
      <c r="E42" s="19"/>
      <c r="F42" s="21"/>
      <c r="G42" s="21"/>
      <c r="H42" s="21"/>
      <c r="I42" s="21"/>
      <c r="J42" s="18"/>
      <c r="K42" s="19"/>
      <c r="L42" s="19"/>
    </row>
    <row r="43" ht="18.75" customHeight="1">
      <c r="A43" s="22" t="str">
        <f>IFERROR(__xludf.DUMMYFUNCTION("""COMPUTED_VALUE"""),"充電電流受到遠端監控")</f>
        <v>充電電流受到遠端監控</v>
      </c>
      <c r="B43" s="23" t="b">
        <f>IFERROR(__xludf.DUMMYFUNCTION("""COMPUTED_VALUE"""),TRUE)</f>
        <v>1</v>
      </c>
      <c r="C43" s="24" t="str">
        <f>IFERROR(__xludf.DUMMYFUNCTION("""COMPUTED_VALUE"""),"模組充電電流受到遠端監控")</f>
        <v>模組充電電流受到遠端監控</v>
      </c>
      <c r="D43" s="25">
        <f>IFERROR(__xludf.DUMMYFUNCTION("""COMPUTED_VALUE"""),9.0)</f>
        <v>9</v>
      </c>
      <c r="E43" s="26">
        <f>IFERROR(__xludf.DUMMYFUNCTION("""COMPUTED_VALUE"""),0.25)</f>
        <v>0.25</v>
      </c>
      <c r="F43" s="21"/>
      <c r="G43" s="21"/>
      <c r="H43" s="21"/>
      <c r="I43" s="21"/>
      <c r="J43" s="18"/>
      <c r="K43" s="24" t="str">
        <f>IFERROR(__xludf.DUMMYFUNCTION("IF(TO_TEXT(B43)=""TRUE"", C43,"""")"),"模組充電電流受到遠端監控")</f>
        <v>模組充電電流受到遠端監控</v>
      </c>
      <c r="L43" s="23" t="str">
        <f>IF(K43="","", IF(K44="","；","、"))</f>
        <v>、</v>
      </c>
    </row>
    <row r="44" ht="18.75" customHeight="1">
      <c r="A44" s="19"/>
      <c r="B44" s="23" t="b">
        <f>IFERROR(__xludf.DUMMYFUNCTION("""COMPUTED_VALUE"""),TRUE)</f>
        <v>1</v>
      </c>
      <c r="C44" s="24" t="str">
        <f>IFERROR(__xludf.DUMMYFUNCTION("""COMPUTED_VALUE"""),"機櫃充電電流受到遠端監控")</f>
        <v>機櫃充電電流受到遠端監控</v>
      </c>
      <c r="D44" s="19"/>
      <c r="E44" s="19"/>
      <c r="F44" s="21"/>
      <c r="G44" s="21"/>
      <c r="H44" s="21"/>
      <c r="I44" s="21"/>
      <c r="J44" s="18"/>
      <c r="K44" s="24" t="str">
        <f>IFERROR(__xludf.DUMMYFUNCTION("IF(TO_TEXT(B44)=""TRUE"", C44,"""")"),"機櫃充電電流受到遠端監控")</f>
        <v>機櫃充電電流受到遠端監控</v>
      </c>
      <c r="L44" s="23" t="str">
        <f>IF(K44="","","；")</f>
        <v>；</v>
      </c>
    </row>
    <row r="45" ht="18.75" customHeight="1">
      <c r="A45" s="22" t="str">
        <f>IFERROR(__xludf.DUMMYFUNCTION("""COMPUTED_VALUE"""),"充電電流異常發出警告訊號")</f>
        <v>充電電流異常發出警告訊號</v>
      </c>
      <c r="B45" s="23" t="b">
        <f>IFERROR(__xludf.DUMMYFUNCTION("""COMPUTED_VALUE"""),FALSE)</f>
        <v>0</v>
      </c>
      <c r="C45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45" s="25">
        <f>IFERROR(__xludf.DUMMYFUNCTION("""COMPUTED_VALUE"""),9.0)</f>
        <v>9</v>
      </c>
      <c r="E45" s="26">
        <f>IFERROR(__xludf.DUMMYFUNCTION("""COMPUTED_VALUE"""),0.4)</f>
        <v>0.4</v>
      </c>
      <c r="F45" s="21"/>
      <c r="G45" s="21"/>
      <c r="H45" s="21"/>
      <c r="I45" s="21"/>
      <c r="J45" s="18"/>
      <c r="K45" s="24" t="str">
        <f>IFERROR(__xludf.DUMMYFUNCTION("IF(TO_TEXT(B45)=""TRUE"", C45,"""")"),"")</f>
        <v/>
      </c>
      <c r="L45" s="23" t="str">
        <f>IF(K45="","", IF(K46="","；","、"))</f>
        <v/>
      </c>
    </row>
    <row r="46" ht="18.75" customHeight="1">
      <c r="A46" s="21"/>
      <c r="B46" s="23" t="b">
        <f>IFERROR(__xludf.DUMMYFUNCTION("""COMPUTED_VALUE"""),TRUE)</f>
        <v>1</v>
      </c>
      <c r="C46" s="24" t="str">
        <f>IFERROR(__xludf.DUMMYFUNCTION("""COMPUTED_VALUE"""),"BMS通過Test Report - IEC 60730-1 - Annex H測試")</f>
        <v>BMS通過Test Report - IEC 60730-1 - Annex H測試</v>
      </c>
      <c r="D46" s="21"/>
      <c r="E46" s="21"/>
      <c r="F46" s="21"/>
      <c r="G46" s="21"/>
      <c r="H46" s="21"/>
      <c r="I46" s="21"/>
      <c r="J46" s="18"/>
      <c r="K46" s="24" t="str">
        <f>IFERROR(__xludf.DUMMYFUNCTION("IF(TO_TEXT(B46)=""TRUE"", C46,"""")"),"BMS通過Test Report - IEC 60730-1 - Annex H測試")</f>
        <v>BMS通過Test Report - IEC 60730-1 - Annex H測試</v>
      </c>
      <c r="L46" s="23" t="str">
        <f>IF(K47="","；","、")</f>
        <v>、</v>
      </c>
    </row>
    <row r="47" ht="18.75" customHeight="1">
      <c r="A47" s="19"/>
      <c r="B47" s="23" t="b">
        <f>IFERROR(__xludf.DUMMYFUNCTION("""COMPUTED_VALUE"""),TRUE)</f>
        <v>1</v>
      </c>
      <c r="C47" s="24" t="str">
        <f>IFERROR(__xludf.DUMMYFUNCTION("""COMPUTED_VALUE"""),"異常訊號可同時通知現場及遠端管理人員")</f>
        <v>異常訊號可同時通知現場及遠端管理人員</v>
      </c>
      <c r="D47" s="19"/>
      <c r="E47" s="19"/>
      <c r="F47" s="21"/>
      <c r="G47" s="21"/>
      <c r="H47" s="21"/>
      <c r="I47" s="21"/>
      <c r="J47" s="18"/>
      <c r="K47" s="24" t="str">
        <f>IFERROR(__xludf.DUMMYFUNCTION("IF(TO_TEXT(B47)=""TRUE"", C47,"""")"),"異常訊號可同時通知現場及遠端管理人員")</f>
        <v>異常訊號可同時通知現場及遠端管理人員</v>
      </c>
      <c r="L47" s="23" t="str">
        <f>IF(K47="","","；")</f>
        <v>；</v>
      </c>
    </row>
    <row r="48" ht="18.75" customHeight="1">
      <c r="A48" s="13" t="str">
        <f>IFERROR(__xludf.DUMMYFUNCTION("""COMPUTED_VALUE"""),"充電電流的歷史紀錄")</f>
        <v>充電電流的歷史紀錄</v>
      </c>
      <c r="B48" s="14" t="str">
        <f>IFERROR(__xludf.DUMMYFUNCTION("""COMPUTED_VALUE"""),"歷史紀錄保存完整")</f>
        <v>歷史紀錄保存完整</v>
      </c>
      <c r="C48" s="6"/>
      <c r="D48" s="15">
        <f>IFERROR(__xludf.DUMMYFUNCTION("""COMPUTED_VALUE"""),8.6)</f>
        <v>8.6</v>
      </c>
      <c r="E48" s="16">
        <f>IFERROR(__xludf.DUMMYFUNCTION("""COMPUTED_VALUE"""),0.1)</f>
        <v>0.1</v>
      </c>
      <c r="F48" s="21"/>
      <c r="G48" s="21"/>
      <c r="H48" s="21"/>
      <c r="I48" s="21"/>
      <c r="J48" s="18"/>
      <c r="K48" s="13" t="str">
        <f>B48</f>
        <v>歷史紀錄保存完整</v>
      </c>
      <c r="L48" s="13"/>
    </row>
    <row r="49" ht="18.75" customHeight="1">
      <c r="A49" s="19"/>
      <c r="B49" s="20"/>
      <c r="C49" s="12"/>
      <c r="D49" s="19"/>
      <c r="E49" s="19"/>
      <c r="F49" s="19"/>
      <c r="G49" s="19"/>
      <c r="H49" s="19"/>
      <c r="I49" s="19"/>
      <c r="J49" s="18"/>
      <c r="K49" s="19"/>
      <c r="L49" s="19"/>
    </row>
    <row r="50" ht="45.0" customHeight="1">
      <c r="A50" s="1" t="str">
        <f>IFERROR(__xludf.DUMMYFUNCTION("""COMPUTED_VALUE"""),"充電電流控制器故障 F1-b1-2(t)")</f>
        <v>充電電流控制器故障 F1-b1-2(t)</v>
      </c>
      <c r="B50" s="2"/>
      <c r="C50" s="2"/>
      <c r="D50" s="2"/>
      <c r="E50" s="2"/>
      <c r="F50" s="2"/>
      <c r="G50" s="2"/>
      <c r="H50" s="3"/>
      <c r="I50" s="3"/>
      <c r="J50" s="4"/>
      <c r="K50" s="5" t="str">
        <f>"「"&amp;A50&amp;"」的調查問項包括"&amp;A52&amp;"、"&amp;A55&amp;"、"&amp;A58&amp;"等3項。其中，「"&amp;A52&amp;"」方面，設定條件為"&amp;K52&amp;L52&amp;K53&amp;L53&amp;K54&amp;L54&amp;"符合「"&amp;A55&amp;"」的條件，則為"&amp;K55&amp;"；符合「"&amp;A58&amp;"」的條件為"&amp;K58&amp;"。將確證後計算加權分數後，可靠度概率為"&amp;H52&amp;"，"&amp;A50&amp;"的故障率為"&amp;I52&amp;"。"</f>
        <v>「充電電流控制器故障 F1-b1-2(t)」的調查問項包括充電電流控制器通過認證、充電電流控制器定期檢修、充電電流控制器有故障監視等3項。其中，「充電電流控制器通過認證」方面，設定條件為取得 UL 1973 認證證書、取得 CNS 62619 認證證書、符合 IEC 60730 之測試報告；符合「充電電流控制器定期檢修」的條件，則為充電電流控制器二年檢修1次；符合「充電電流控制器有故障監視」的條件為控制器具有故障監視功能。將確證後計算加權分數後，可靠度概率為87.2%，充電電流控制器故障 F1-b1-2(t)的故障率為12.8%。</v>
      </c>
      <c r="L50" s="6"/>
    </row>
    <row r="51" ht="45.0" customHeight="1">
      <c r="A51" s="7" t="str">
        <f>IFERROR(__xludf.DUMMYFUNCTION("""COMPUTED_VALUE"""),"確保可靠度的手段")</f>
        <v>確保可靠度的手段</v>
      </c>
      <c r="B51" s="8" t="str">
        <f>IFERROR(__xludf.DUMMYFUNCTION("""COMPUTED_VALUE"""),"確證方式")</f>
        <v>確證方式</v>
      </c>
      <c r="C51" s="9"/>
      <c r="D51" s="7" t="str">
        <f>IFERROR(__xludf.DUMMYFUNCTION("""COMPUTED_VALUE"""),"得分")</f>
        <v>得分</v>
      </c>
      <c r="E51" s="7" t="str">
        <f>IFERROR(__xludf.DUMMYFUNCTION("""COMPUTED_VALUE"""),"權重")</f>
        <v>權重</v>
      </c>
      <c r="F51" s="7" t="str">
        <f>IFERROR(__xludf.DUMMYFUNCTION("""COMPUTED_VALUE"""),"可靠度
 概率")</f>
        <v>可靠度
 概率</v>
      </c>
      <c r="G51" s="7" t="str">
        <f>IFERROR(__xludf.DUMMYFUNCTION("""COMPUTED_VALUE"""),"F1-b1-2")</f>
        <v>F1-b1-2</v>
      </c>
      <c r="H51" s="7" t="s">
        <v>2</v>
      </c>
      <c r="I51" s="7" t="s">
        <v>7</v>
      </c>
      <c r="J51" s="10"/>
      <c r="K51" s="11"/>
      <c r="L51" s="12"/>
    </row>
    <row r="52" ht="18.75" customHeight="1">
      <c r="A52" s="22" t="str">
        <f>IFERROR(__xludf.DUMMYFUNCTION("""COMPUTED_VALUE"""),"充電電流控制器通過認證")</f>
        <v>充電電流控制器通過認證</v>
      </c>
      <c r="B52" s="23" t="b">
        <f>IFERROR(__xludf.DUMMYFUNCTION("""COMPUTED_VALUE"""),TRUE)</f>
        <v>1</v>
      </c>
      <c r="C52" s="24" t="str">
        <f>IFERROR(__xludf.DUMMYFUNCTION("""COMPUTED_VALUE"""),"取得 UL 1973 認證證書")</f>
        <v>取得 UL 1973 認證證書</v>
      </c>
      <c r="D52" s="25">
        <f>IFERROR(__xludf.DUMMYFUNCTION("""COMPUTED_VALUE"""),9.2)</f>
        <v>9.2</v>
      </c>
      <c r="E52" s="26">
        <f>IFERROR(__xludf.DUMMYFUNCTION("""COMPUTED_VALUE"""),0.4)</f>
        <v>0.4</v>
      </c>
      <c r="F52" s="17">
        <f>IFERROR(__xludf.DUMMYFUNCTION("""COMPUTED_VALUE"""),0.8719999999999999)</f>
        <v>0.872</v>
      </c>
      <c r="G52" s="17">
        <f>IFERROR(__xludf.DUMMYFUNCTION("""COMPUTED_VALUE"""),0.1280000000000001)</f>
        <v>0.128</v>
      </c>
      <c r="H52" s="17" t="str">
        <f t="shared" ref="H52:I52" si="6">TEXT(ROUND(F52,3),"0.0%")</f>
        <v>87.2%</v>
      </c>
      <c r="I52" s="17" t="str">
        <f t="shared" si="6"/>
        <v>12.8%</v>
      </c>
      <c r="J52" s="18"/>
      <c r="K52" s="24" t="str">
        <f>IFERROR(__xludf.DUMMYFUNCTION("IF(TO_TEXT(B52)=""TRUE"", C52,"""")"),"取得 UL 1973 認證證書")</f>
        <v>取得 UL 1973 認證證書</v>
      </c>
      <c r="L52" s="23" t="str">
        <f>IF(K52="","", IF(K53="","；","、"))</f>
        <v>、</v>
      </c>
    </row>
    <row r="53" ht="18.75" customHeight="1">
      <c r="A53" s="21"/>
      <c r="B53" s="23" t="b">
        <f>IFERROR(__xludf.DUMMYFUNCTION("""COMPUTED_VALUE"""),TRUE)</f>
        <v>1</v>
      </c>
      <c r="C53" s="24" t="str">
        <f>IFERROR(__xludf.DUMMYFUNCTION("""COMPUTED_VALUE"""),"取得 CNS 62619 認證證書")</f>
        <v>取得 CNS 62619 認證證書</v>
      </c>
      <c r="D53" s="21"/>
      <c r="E53" s="21"/>
      <c r="F53" s="21"/>
      <c r="G53" s="21"/>
      <c r="H53" s="21"/>
      <c r="I53" s="21"/>
      <c r="J53" s="18"/>
      <c r="K53" s="24" t="str">
        <f>IFERROR(__xludf.DUMMYFUNCTION("IF(TO_TEXT(B53)=""TRUE"", C53,"""")"),"取得 CNS 62619 認證證書")</f>
        <v>取得 CNS 62619 認證證書</v>
      </c>
      <c r="L53" s="23" t="str">
        <f>IF(K54="","；","、")</f>
        <v>、</v>
      </c>
    </row>
    <row r="54" ht="18.75" customHeight="1">
      <c r="A54" s="19"/>
      <c r="B54" s="23" t="b">
        <f>IFERROR(__xludf.DUMMYFUNCTION("""COMPUTED_VALUE"""),TRUE)</f>
        <v>1</v>
      </c>
      <c r="C54" s="24" t="str">
        <f>IFERROR(__xludf.DUMMYFUNCTION("""COMPUTED_VALUE"""),"符合 IEC 60730 之測試報告")</f>
        <v>符合 IEC 60730 之測試報告</v>
      </c>
      <c r="D54" s="19"/>
      <c r="E54" s="19"/>
      <c r="F54" s="21"/>
      <c r="G54" s="21"/>
      <c r="H54" s="21"/>
      <c r="I54" s="21"/>
      <c r="J54" s="18"/>
      <c r="K54" s="24" t="str">
        <f>IFERROR(__xludf.DUMMYFUNCTION("IF(TO_TEXT(B54)=""TRUE"", C54,"""")"),"符合 IEC 60730 之測試報告")</f>
        <v>符合 IEC 60730 之測試報告</v>
      </c>
      <c r="L54" s="23" t="str">
        <f>IF(K54="","","；")</f>
        <v>；</v>
      </c>
    </row>
    <row r="55" ht="18.75" customHeight="1">
      <c r="A55" s="13" t="str">
        <f>IFERROR(__xludf.DUMMYFUNCTION("""COMPUTED_VALUE"""),"充電電流控制器定期檢修")</f>
        <v>充電電流控制器定期檢修</v>
      </c>
      <c r="B55" s="14" t="str">
        <f>IFERROR(__xludf.DUMMYFUNCTION("""COMPUTED_VALUE"""),"充電電流控制器二年檢修1次")</f>
        <v>充電電流控制器二年檢修1次</v>
      </c>
      <c r="C55" s="6"/>
      <c r="D55" s="15">
        <f>IFERROR(__xludf.DUMMYFUNCTION("""COMPUTED_VALUE"""),8.2)</f>
        <v>8.2</v>
      </c>
      <c r="E55" s="16">
        <f>IFERROR(__xludf.DUMMYFUNCTION("""COMPUTED_VALUE"""),0.3)</f>
        <v>0.3</v>
      </c>
      <c r="F55" s="21"/>
      <c r="G55" s="21"/>
      <c r="H55" s="21"/>
      <c r="I55" s="21"/>
      <c r="J55" s="18"/>
      <c r="K55" s="13" t="str">
        <f>B55</f>
        <v>充電電流控制器二年檢修1次</v>
      </c>
      <c r="L55" s="13"/>
    </row>
    <row r="56" ht="18.75" customHeight="1">
      <c r="A56" s="21"/>
      <c r="B56" s="27"/>
      <c r="C56" s="28"/>
      <c r="D56" s="21"/>
      <c r="E56" s="21"/>
      <c r="F56" s="21"/>
      <c r="G56" s="21"/>
      <c r="H56" s="21"/>
      <c r="I56" s="21"/>
      <c r="J56" s="18"/>
      <c r="K56" s="21"/>
      <c r="L56" s="21"/>
    </row>
    <row r="57" ht="18.75" customHeight="1">
      <c r="A57" s="19"/>
      <c r="B57" s="20"/>
      <c r="C57" s="12"/>
      <c r="D57" s="19"/>
      <c r="E57" s="19"/>
      <c r="F57" s="21"/>
      <c r="G57" s="21"/>
      <c r="H57" s="21"/>
      <c r="I57" s="21"/>
      <c r="J57" s="18"/>
      <c r="K57" s="19"/>
      <c r="L57" s="19"/>
    </row>
    <row r="58" ht="18.75" customHeight="1">
      <c r="A58" s="13" t="str">
        <f>IFERROR(__xludf.DUMMYFUNCTION("""COMPUTED_VALUE"""),"充電電流控制器有故障監視")</f>
        <v>充電電流控制器有故障監視</v>
      </c>
      <c r="B58" s="14" t="str">
        <f>IFERROR(__xludf.DUMMYFUNCTION("""COMPUTED_VALUE"""),"控制器具有故障監視功能")</f>
        <v>控制器具有故障監視功能</v>
      </c>
      <c r="C58" s="6"/>
      <c r="D58" s="15">
        <f>IFERROR(__xludf.DUMMYFUNCTION("""COMPUTED_VALUE"""),8.6)</f>
        <v>8.6</v>
      </c>
      <c r="E58" s="16">
        <f>IFERROR(__xludf.DUMMYFUNCTION("""COMPUTED_VALUE"""),0.3)</f>
        <v>0.3</v>
      </c>
      <c r="F58" s="21"/>
      <c r="G58" s="21"/>
      <c r="H58" s="21"/>
      <c r="I58" s="21"/>
      <c r="J58" s="18"/>
      <c r="K58" s="13" t="str">
        <f>B58</f>
        <v>控制器具有故障監視功能</v>
      </c>
      <c r="L58" s="13"/>
    </row>
    <row r="59" ht="18.75" customHeight="1">
      <c r="A59" s="19"/>
      <c r="B59" s="20"/>
      <c r="C59" s="12"/>
      <c r="D59" s="19"/>
      <c r="E59" s="19"/>
      <c r="F59" s="19"/>
      <c r="G59" s="19"/>
      <c r="H59" s="19"/>
      <c r="I59" s="19"/>
      <c r="J59" s="29"/>
      <c r="K59" s="19"/>
      <c r="L59" s="19"/>
    </row>
    <row r="60" ht="43.5" customHeight="1">
      <c r="A60" s="1" t="str">
        <f>IFERROR(__xludf.DUMMYFUNCTION("""COMPUTED_VALUE"""),"過電流保護設定不當 F1-b2-1(t)")</f>
        <v>過電流保護設定不當 F1-b2-1(t)</v>
      </c>
      <c r="B60" s="2"/>
      <c r="C60" s="2"/>
      <c r="D60" s="2"/>
      <c r="E60" s="2"/>
      <c r="F60" s="2"/>
      <c r="G60" s="2"/>
      <c r="H60" s="3"/>
      <c r="I60" s="3"/>
      <c r="J60" s="4"/>
      <c r="K60" s="5" t="str">
        <f>"「"&amp;A60&amp;"」的調查問項包括"&amp;A62&amp;"、"&amp;A64&amp;"、"&amp;A67&amp;"等3項。其中，「"&amp;A62&amp;"」方面，設定條件為"&amp;K62&amp;"；"&amp;"符合「"&amp;A64&amp;"」的條件，則為"&amp;K64&amp;L64&amp;K65&amp;L65&amp;"符合「"&amp;A67&amp;"」的條件為"&amp;K67&amp;"。將確證後計算加權分數後，可靠度概率為"&amp;H62&amp;"，"&amp;A60&amp;"的故障率為"&amp;I62&amp;"。"</f>
        <v>「過電流保護設定不當 F1-b2-1(t)」的調查問項包括符合規定的過電流保護設定、過電流保護動作移報訊號、過電流保護的歷史紀錄等3項。其中，「符合規定的過電流保護設定」方面，設定條件為經由第三方查核確認；符合「過電流保護動作移報訊號」的條件，則為BMS通過Test Report - IEC 60730-1 - Annex H測試、符合「過電流保護的歷史紀錄」的條件為歷史紀錄保存完整。將確證後計算加權分數後，可靠度概率為86.8%，過電流保護設定不當 F1-b2-1(t)的故障率為13.2%。</v>
      </c>
      <c r="L60" s="6"/>
    </row>
    <row r="61" ht="43.5" customHeight="1">
      <c r="A61" s="7" t="str">
        <f>IFERROR(__xludf.DUMMYFUNCTION("""COMPUTED_VALUE"""),"確保可靠度的手段")</f>
        <v>確保可靠度的手段</v>
      </c>
      <c r="B61" s="8" t="str">
        <f>IFERROR(__xludf.DUMMYFUNCTION("""COMPUTED_VALUE"""),"確證方式")</f>
        <v>確證方式</v>
      </c>
      <c r="C61" s="9"/>
      <c r="D61" s="7" t="str">
        <f>IFERROR(__xludf.DUMMYFUNCTION("""COMPUTED_VALUE"""),"得分")</f>
        <v>得分</v>
      </c>
      <c r="E61" s="7" t="str">
        <f>IFERROR(__xludf.DUMMYFUNCTION("""COMPUTED_VALUE"""),"權重")</f>
        <v>權重</v>
      </c>
      <c r="F61" s="7" t="str">
        <f>IFERROR(__xludf.DUMMYFUNCTION("""COMPUTED_VALUE"""),"可靠度概率")</f>
        <v>可靠度概率</v>
      </c>
      <c r="G61" s="7" t="str">
        <f>IFERROR(__xludf.DUMMYFUNCTION("""COMPUTED_VALUE"""),"F1-b2-1(t)")</f>
        <v>F1-b2-1(t)</v>
      </c>
      <c r="H61" s="7" t="s">
        <v>0</v>
      </c>
      <c r="I61" s="7" t="s">
        <v>8</v>
      </c>
      <c r="J61" s="10"/>
      <c r="K61" s="11"/>
      <c r="L61" s="12"/>
    </row>
    <row r="62" ht="18.75" customHeight="1">
      <c r="A62" s="13" t="str">
        <f>IFERROR(__xludf.DUMMYFUNCTION("""COMPUTED_VALUE"""),"符合規定的過電流保護設定")</f>
        <v>符合規定的過電流保護設定</v>
      </c>
      <c r="B62" s="14" t="str">
        <f>IFERROR(__xludf.DUMMYFUNCTION("""COMPUTED_VALUE"""),"經由第三方查核確認")</f>
        <v>經由第三方查核確認</v>
      </c>
      <c r="C62" s="6"/>
      <c r="D62" s="15">
        <f>IFERROR(__xludf.DUMMYFUNCTION("""COMPUTED_VALUE"""),8.5)</f>
        <v>8.5</v>
      </c>
      <c r="E62" s="16">
        <f>IFERROR(__xludf.DUMMYFUNCTION("""COMPUTED_VALUE"""),0.4)</f>
        <v>0.4</v>
      </c>
      <c r="F62" s="17">
        <f>IFERROR(__xludf.DUMMYFUNCTION("""COMPUTED_VALUE"""),0.868)</f>
        <v>0.868</v>
      </c>
      <c r="G62" s="17">
        <f>IFERROR(__xludf.DUMMYFUNCTION("""COMPUTED_VALUE"""),0.132)</f>
        <v>0.132</v>
      </c>
      <c r="H62" s="17" t="str">
        <f t="shared" ref="H62:I62" si="7">TEXT(ROUND(F62,3),"0.0%")</f>
        <v>86.8%</v>
      </c>
      <c r="I62" s="17" t="str">
        <f t="shared" si="7"/>
        <v>13.2%</v>
      </c>
      <c r="J62" s="18"/>
      <c r="K62" s="13" t="str">
        <f>B62</f>
        <v>經由第三方查核確認</v>
      </c>
      <c r="L62" s="13"/>
    </row>
    <row r="63" ht="18.75" customHeight="1">
      <c r="A63" s="19"/>
      <c r="B63" s="20"/>
      <c r="C63" s="12"/>
      <c r="D63" s="19"/>
      <c r="E63" s="19"/>
      <c r="F63" s="21"/>
      <c r="G63" s="21"/>
      <c r="H63" s="21"/>
      <c r="I63" s="21"/>
      <c r="J63" s="18"/>
      <c r="K63" s="19"/>
      <c r="L63" s="19"/>
    </row>
    <row r="64" ht="18.75" customHeight="1">
      <c r="A64" s="22" t="str">
        <f>IFERROR(__xludf.DUMMYFUNCTION("""COMPUTED_VALUE"""),"過電流保護動作移報訊號")</f>
        <v>過電流保護動作移報訊號</v>
      </c>
      <c r="B64" s="23" t="b">
        <f>IFERROR(__xludf.DUMMYFUNCTION("""COMPUTED_VALUE"""),FALSE)</f>
        <v>0</v>
      </c>
      <c r="C64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64" s="25">
        <f>IFERROR(__xludf.DUMMYFUNCTION("""COMPUTED_VALUE"""),9.0)</f>
        <v>9</v>
      </c>
      <c r="E64" s="26">
        <f>IFERROR(__xludf.DUMMYFUNCTION("""COMPUTED_VALUE"""),0.3)</f>
        <v>0.3</v>
      </c>
      <c r="F64" s="21"/>
      <c r="G64" s="21"/>
      <c r="H64" s="21"/>
      <c r="I64" s="21"/>
      <c r="J64" s="18"/>
      <c r="K64" s="24" t="str">
        <f>IFERROR(__xludf.DUMMYFUNCTION("IF(TO_TEXT(B64)=""TRUE"", C64,"""")"),"")</f>
        <v/>
      </c>
      <c r="L64" s="23" t="str">
        <f>IF(K64="","", IF(K65="","；","、"))</f>
        <v/>
      </c>
    </row>
    <row r="65" ht="18.75" customHeight="1">
      <c r="A65" s="21"/>
      <c r="B65" s="23" t="b">
        <f>IFERROR(__xludf.DUMMYFUNCTION("""COMPUTED_VALUE"""),TRUE)</f>
        <v>1</v>
      </c>
      <c r="C65" s="24" t="str">
        <f>IFERROR(__xludf.DUMMYFUNCTION("""COMPUTED_VALUE"""),"BMS通過Test Report - IEC 60730-1 - Annex H測試")</f>
        <v>BMS通過Test Report - IEC 60730-1 - Annex H測試</v>
      </c>
      <c r="D65" s="21"/>
      <c r="E65" s="21"/>
      <c r="F65" s="21"/>
      <c r="G65" s="21"/>
      <c r="H65" s="21"/>
      <c r="I65" s="21"/>
      <c r="J65" s="18"/>
      <c r="K65" s="24" t="str">
        <f>IFERROR(__xludf.DUMMYFUNCTION("IF(TO_TEXT(B65)=""TRUE"", C65,"""")"),"BMS通過Test Report - IEC 60730-1 - Annex H測試")</f>
        <v>BMS通過Test Report - IEC 60730-1 - Annex H測試</v>
      </c>
      <c r="L65" s="23" t="str">
        <f>IF(K66="","；","、")</f>
        <v>、</v>
      </c>
    </row>
    <row r="66" ht="18.75" customHeight="1">
      <c r="A66" s="19"/>
      <c r="B66" s="23" t="b">
        <f>IFERROR(__xludf.DUMMYFUNCTION("""COMPUTED_VALUE"""),TRUE)</f>
        <v>1</v>
      </c>
      <c r="C66" s="24" t="str">
        <f>IFERROR(__xludf.DUMMYFUNCTION("""COMPUTED_VALUE"""),"異常訊號可同時通知現場及遠端管理人員")</f>
        <v>異常訊號可同時通知現場及遠端管理人員</v>
      </c>
      <c r="D66" s="19"/>
      <c r="E66" s="19"/>
      <c r="F66" s="21"/>
      <c r="G66" s="21"/>
      <c r="H66" s="21"/>
      <c r="I66" s="21"/>
      <c r="J66" s="18"/>
      <c r="K66" s="24" t="str">
        <f>IFERROR(__xludf.DUMMYFUNCTION("IF(TO_TEXT(B66)=""TRUE"", C66,"""")"),"異常訊號可同時通知現場及遠端管理人員")</f>
        <v>異常訊號可同時通知現場及遠端管理人員</v>
      </c>
      <c r="L66" s="23" t="str">
        <f>IF(K66="","","；")</f>
        <v>；</v>
      </c>
    </row>
    <row r="67" ht="18.75" customHeight="1">
      <c r="A67" s="13" t="str">
        <f>IFERROR(__xludf.DUMMYFUNCTION("""COMPUTED_VALUE"""),"過電流保護的歷史紀錄")</f>
        <v>過電流保護的歷史紀錄</v>
      </c>
      <c r="B67" s="14" t="str">
        <f>IFERROR(__xludf.DUMMYFUNCTION("""COMPUTED_VALUE"""),"歷史紀錄保存完整")</f>
        <v>歷史紀錄保存完整</v>
      </c>
      <c r="C67" s="6"/>
      <c r="D67" s="15">
        <f>IFERROR(__xludf.DUMMYFUNCTION("""COMPUTED_VALUE"""),8.6)</f>
        <v>8.6</v>
      </c>
      <c r="E67" s="16">
        <f>IFERROR(__xludf.DUMMYFUNCTION("""COMPUTED_VALUE"""),0.3)</f>
        <v>0.3</v>
      </c>
      <c r="F67" s="21"/>
      <c r="G67" s="21"/>
      <c r="H67" s="21"/>
      <c r="I67" s="21"/>
      <c r="J67" s="18"/>
      <c r="K67" s="13" t="str">
        <f>B67</f>
        <v>歷史紀錄保存完整</v>
      </c>
      <c r="L67" s="13"/>
    </row>
    <row r="68" ht="18.75" customHeight="1">
      <c r="A68" s="19"/>
      <c r="B68" s="20"/>
      <c r="C68" s="12"/>
      <c r="D68" s="19"/>
      <c r="E68" s="19"/>
      <c r="F68" s="19"/>
      <c r="G68" s="19"/>
      <c r="H68" s="19"/>
      <c r="I68" s="19"/>
      <c r="J68" s="18"/>
      <c r="K68" s="19"/>
      <c r="L68" s="19"/>
    </row>
    <row r="69" ht="37.5" customHeight="1">
      <c r="A69" s="1" t="str">
        <f>IFERROR(__xludf.DUMMYFUNCTION("""COMPUTED_VALUE"""),"過電流保護裝置故障 F1-b2-2(t)")</f>
        <v>過電流保護裝置故障 F1-b2-2(t)</v>
      </c>
      <c r="B69" s="2"/>
      <c r="C69" s="2"/>
      <c r="D69" s="2"/>
      <c r="E69" s="2"/>
      <c r="F69" s="2"/>
      <c r="G69" s="2"/>
      <c r="H69" s="3"/>
      <c r="I69" s="3"/>
      <c r="J69" s="4"/>
      <c r="K69" s="5" t="str">
        <f>"「"&amp;A69&amp;"」的調查問項包括"&amp;A71&amp;"、"&amp;A74&amp;"等2項。其中，「"&amp;A71&amp;"」方面，設定條件為"&amp;K71&amp;L71&amp;K72&amp;L72&amp;K73&amp;L73&amp;"符合「"&amp;A74&amp;"」的條件，則為"&amp;K74&amp;"。將確證後計算加權分數後，可靠度概率為"&amp;H71&amp;"，"&amp;A69&amp;"的故障率為"&amp;I71&amp;"。"</f>
        <v>「過電流保護裝置故障 F1-b2-2(t)」的調查問項包括過電流保護裝置通過認證、過電流保護裝置定期檢修等2項。其中，「過電流保護裝置通過認證」方面，設定條件為取得 UL 1973 認證證書、取得 CNS 62619 認證證書、符合 IEC 60730 之測試報告；符合「過電流保護裝置定期檢修」的條件，則為過電流保護裝置二年檢修1次。將確證後計算加權分數後，可靠度概率為88.6%，過電流保護裝置故障 F1-b2-2(t)的故障率為11.4%。</v>
      </c>
      <c r="L69" s="6"/>
    </row>
    <row r="70" ht="37.5" customHeight="1">
      <c r="A70" s="7" t="str">
        <f>IFERROR(__xludf.DUMMYFUNCTION("""COMPUTED_VALUE"""),"確保可靠度的手段")</f>
        <v>確保可靠度的手段</v>
      </c>
      <c r="B70" s="8" t="str">
        <f>IFERROR(__xludf.DUMMYFUNCTION("""COMPUTED_VALUE"""),"確證方式")</f>
        <v>確證方式</v>
      </c>
      <c r="C70" s="9"/>
      <c r="D70" s="7" t="str">
        <f>IFERROR(__xludf.DUMMYFUNCTION("""COMPUTED_VALUE"""),"得分")</f>
        <v>得分</v>
      </c>
      <c r="E70" s="7" t="str">
        <f>IFERROR(__xludf.DUMMYFUNCTION("""COMPUTED_VALUE"""),"權重")</f>
        <v>權重</v>
      </c>
      <c r="F70" s="7" t="str">
        <f>IFERROR(__xludf.DUMMYFUNCTION("""COMPUTED_VALUE"""),"可靠度
 概率")</f>
        <v>可靠度
 概率</v>
      </c>
      <c r="G70" s="7" t="str">
        <f>IFERROR(__xludf.DUMMYFUNCTION("""COMPUTED_VALUE"""),"F1-b2-2(t)")</f>
        <v>F1-b2-2(t)</v>
      </c>
      <c r="H70" s="7" t="s">
        <v>2</v>
      </c>
      <c r="I70" s="7" t="s">
        <v>9</v>
      </c>
      <c r="J70" s="10"/>
      <c r="K70" s="11"/>
      <c r="L70" s="12"/>
    </row>
    <row r="71" ht="18.75" customHeight="1">
      <c r="A71" s="22" t="str">
        <f>IFERROR(__xludf.DUMMYFUNCTION("""COMPUTED_VALUE"""),"過電流保護裝置通過認證")</f>
        <v>過電流保護裝置通過認證</v>
      </c>
      <c r="B71" s="23" t="b">
        <f>IFERROR(__xludf.DUMMYFUNCTION("""COMPUTED_VALUE"""),TRUE)</f>
        <v>1</v>
      </c>
      <c r="C71" s="24" t="str">
        <f>IFERROR(__xludf.DUMMYFUNCTION("""COMPUTED_VALUE"""),"取得 UL 1973 認證證書")</f>
        <v>取得 UL 1973 認證證書</v>
      </c>
      <c r="D71" s="25">
        <f>IFERROR(__xludf.DUMMYFUNCTION("""COMPUTED_VALUE"""),9.3)</f>
        <v>9.3</v>
      </c>
      <c r="E71" s="26">
        <f>IFERROR(__xludf.DUMMYFUNCTION("""COMPUTED_VALUE"""),0.6)</f>
        <v>0.6</v>
      </c>
      <c r="F71" s="17">
        <f>IFERROR(__xludf.DUMMYFUNCTION("""COMPUTED_VALUE"""),0.8859999999999999)</f>
        <v>0.886</v>
      </c>
      <c r="G71" s="17">
        <f>IFERROR(__xludf.DUMMYFUNCTION("""COMPUTED_VALUE"""),0.1140000000000001)</f>
        <v>0.114</v>
      </c>
      <c r="H71" s="17" t="str">
        <f t="shared" ref="H71:I71" si="8">TEXT(ROUND(F71,3),"0.0%")</f>
        <v>88.6%</v>
      </c>
      <c r="I71" s="17" t="str">
        <f t="shared" si="8"/>
        <v>11.4%</v>
      </c>
      <c r="J71" s="18"/>
      <c r="K71" s="24" t="str">
        <f>IFERROR(__xludf.DUMMYFUNCTION("IF(TO_TEXT(B71)=""TRUE"", C71,"""")"),"取得 UL 1973 認證證書")</f>
        <v>取得 UL 1973 認證證書</v>
      </c>
      <c r="L71" s="23" t="str">
        <f>IF(K71="","", IF(K72="","；","、"))</f>
        <v>、</v>
      </c>
    </row>
    <row r="72" ht="18.75" customHeight="1">
      <c r="A72" s="21"/>
      <c r="B72" s="23" t="b">
        <f>IFERROR(__xludf.DUMMYFUNCTION("""COMPUTED_VALUE"""),TRUE)</f>
        <v>1</v>
      </c>
      <c r="C72" s="24" t="str">
        <f>IFERROR(__xludf.DUMMYFUNCTION("""COMPUTED_VALUE"""),"取得 CNS 62619 認證證書")</f>
        <v>取得 CNS 62619 認證證書</v>
      </c>
      <c r="D72" s="21"/>
      <c r="E72" s="21"/>
      <c r="F72" s="21"/>
      <c r="G72" s="21"/>
      <c r="H72" s="21"/>
      <c r="I72" s="21"/>
      <c r="J72" s="18"/>
      <c r="K72" s="24" t="str">
        <f>IFERROR(__xludf.DUMMYFUNCTION("IF(TO_TEXT(B72)=""TRUE"", C72,"""")"),"取得 CNS 62619 認證證書")</f>
        <v>取得 CNS 62619 認證證書</v>
      </c>
      <c r="L72" s="23" t="str">
        <f>IF(K73="","；","、")</f>
        <v>、</v>
      </c>
    </row>
    <row r="73" ht="18.75" customHeight="1">
      <c r="A73" s="19"/>
      <c r="B73" s="23" t="b">
        <f>IFERROR(__xludf.DUMMYFUNCTION("""COMPUTED_VALUE"""),TRUE)</f>
        <v>1</v>
      </c>
      <c r="C73" s="24" t="str">
        <f>IFERROR(__xludf.DUMMYFUNCTION("""COMPUTED_VALUE"""),"符合 IEC 60730 之測試報告")</f>
        <v>符合 IEC 60730 之測試報告</v>
      </c>
      <c r="D73" s="19"/>
      <c r="E73" s="19"/>
      <c r="F73" s="21"/>
      <c r="G73" s="21"/>
      <c r="H73" s="21"/>
      <c r="I73" s="21"/>
      <c r="J73" s="18"/>
      <c r="K73" s="24" t="str">
        <f>IFERROR(__xludf.DUMMYFUNCTION("IF(TO_TEXT(B73)=""TRUE"", C73,"""")"),"符合 IEC 60730 之測試報告")</f>
        <v>符合 IEC 60730 之測試報告</v>
      </c>
      <c r="L73" s="23" t="str">
        <f>IF(K73="","","；")</f>
        <v>；</v>
      </c>
    </row>
    <row r="74" ht="18.75" customHeight="1">
      <c r="A74" s="13" t="str">
        <f>IFERROR(__xludf.DUMMYFUNCTION("""COMPUTED_VALUE"""),"過電流保護裝置定期檢修")</f>
        <v>過電流保護裝置定期檢修</v>
      </c>
      <c r="B74" s="14" t="str">
        <f>IFERROR(__xludf.DUMMYFUNCTION("""COMPUTED_VALUE"""),"過電流保護裝置二年檢修1次")</f>
        <v>過電流保護裝置二年檢修1次</v>
      </c>
      <c r="C74" s="6"/>
      <c r="D74" s="15">
        <f>IFERROR(__xludf.DUMMYFUNCTION("""COMPUTED_VALUE"""),8.2)</f>
        <v>8.2</v>
      </c>
      <c r="E74" s="16">
        <f>IFERROR(__xludf.DUMMYFUNCTION("""COMPUTED_VALUE"""),0.4)</f>
        <v>0.4</v>
      </c>
      <c r="F74" s="21"/>
      <c r="G74" s="21"/>
      <c r="H74" s="21"/>
      <c r="I74" s="21"/>
      <c r="J74" s="18"/>
      <c r="K74" s="13" t="str">
        <f>B74</f>
        <v>過電流保護裝置二年檢修1次</v>
      </c>
      <c r="L74" s="13"/>
    </row>
    <row r="75" ht="18.75" customHeight="1">
      <c r="A75" s="21"/>
      <c r="B75" s="27"/>
      <c r="C75" s="28"/>
      <c r="D75" s="21"/>
      <c r="E75" s="21"/>
      <c r="F75" s="21"/>
      <c r="G75" s="21"/>
      <c r="H75" s="21"/>
      <c r="I75" s="21"/>
      <c r="J75" s="18"/>
      <c r="K75" s="21"/>
      <c r="L75" s="21"/>
    </row>
    <row r="76" ht="18.75" customHeight="1">
      <c r="A76" s="19"/>
      <c r="B76" s="20"/>
      <c r="C76" s="12"/>
      <c r="D76" s="19"/>
      <c r="E76" s="19"/>
      <c r="F76" s="19"/>
      <c r="G76" s="19"/>
      <c r="H76" s="19"/>
      <c r="I76" s="19"/>
      <c r="J76" s="18"/>
      <c r="K76" s="19"/>
      <c r="L76" s="19"/>
    </row>
    <row r="77" ht="43.5" customHeight="1">
      <c r="A77" s="1" t="str">
        <f>IFERROR(__xludf.DUMMYFUNCTION("""COMPUTED_VALUE"""),"充電上限設定不當 F1-c1-1(t)")</f>
        <v>充電上限設定不當 F1-c1-1(t)</v>
      </c>
      <c r="B77" s="2"/>
      <c r="C77" s="2"/>
      <c r="D77" s="2"/>
      <c r="E77" s="2"/>
      <c r="F77" s="2"/>
      <c r="G77" s="2"/>
      <c r="H77" s="3"/>
      <c r="I77" s="3"/>
      <c r="J77" s="4"/>
      <c r="K77" s="5" t="str">
        <f>"在故障樹的第3階火災成因分析中，「"&amp;A77&amp;"」的調查問項包括"&amp;A79&amp;"、"&amp;A81&amp;"、"&amp;A83&amp;"、"&amp;A86&amp;"等4項。其中，「"&amp;A79&amp;"」方面，設定條件為"&amp;K79&amp;"；"&amp;"符合「"&amp;A81&amp;"」的條件，則為"&amp;K81&amp;L81&amp;K82&amp;L82&amp;"符合「"&amp;A83&amp;"」的條件為"&amp;K83&amp;L83&amp;K84&amp;L84&amp;K85&amp;L85&amp;"「"&amp;A86&amp;"」的設定為"&amp;K86&amp;"。將確證後計算加權分數後，可靠度概率為"&amp;H79&amp;"，"&amp;A77&amp;"的故障率為"&amp;I79&amp;"。"</f>
        <v>在故障樹的第3階火災成因分析中，「充電上限設定不當 F1-c1-1(t)」的調查問項包括符合規定的充電上限設定、充電上限受到遠端監控、充電上限異常發出警告訊號、充電上限的歷史紀錄等4項。其中，「符合規定的充電上限設定」方面，設定條件為經由第三方查核確認；符合「充電上限受到遠端監控」的條件，則為模組充電上限受到遠端監控、機櫃充電上限受到遠端監控；符合「充電上限異常發出警告訊號」的條件為BMS通過Test Report - IEC 60730-1 - Annex H測試、異常訊號可同時通知現場及遠端管理人員；「充電上限的歷史紀錄」的設定為歷史紀錄保存完整。將確證後計算加權分數後，可靠度概率為88.4%，充電上限設定不當 F1-c1-1(t)的故障率為11.7%。</v>
      </c>
      <c r="L77" s="6"/>
    </row>
    <row r="78" ht="43.5" customHeight="1">
      <c r="A78" s="7" t="str">
        <f>IFERROR(__xludf.DUMMYFUNCTION("""COMPUTED_VALUE"""),"確保可靠度的手段")</f>
        <v>確保可靠度的手段</v>
      </c>
      <c r="B78" s="8" t="str">
        <f>IFERROR(__xludf.DUMMYFUNCTION("""COMPUTED_VALUE"""),"確證方式")</f>
        <v>確證方式</v>
      </c>
      <c r="C78" s="9"/>
      <c r="D78" s="7" t="str">
        <f>IFERROR(__xludf.DUMMYFUNCTION("""COMPUTED_VALUE"""),"得分")</f>
        <v>得分</v>
      </c>
      <c r="E78" s="7" t="str">
        <f>IFERROR(__xludf.DUMMYFUNCTION("""COMPUTED_VALUE"""),"權重")</f>
        <v>權重</v>
      </c>
      <c r="F78" s="7" t="str">
        <f>IFERROR(__xludf.DUMMYFUNCTION("""COMPUTED_VALUE"""),"可靠度概率")</f>
        <v>可靠度概率</v>
      </c>
      <c r="G78" s="31" t="str">
        <f>IFERROR(__xludf.DUMMYFUNCTION("""COMPUTED_VALUE"""),"F1-c1-1(t)")</f>
        <v>F1-c1-1(t)</v>
      </c>
      <c r="H78" s="7" t="s">
        <v>0</v>
      </c>
      <c r="I78" s="31" t="s">
        <v>10</v>
      </c>
      <c r="J78" s="10"/>
      <c r="K78" s="11"/>
      <c r="L78" s="12"/>
    </row>
    <row r="79" ht="18.75" customHeight="1">
      <c r="A79" s="13" t="str">
        <f>IFERROR(__xludf.DUMMYFUNCTION("""COMPUTED_VALUE"""),"符合規定的充電上限設定")</f>
        <v>符合規定的充電上限設定</v>
      </c>
      <c r="B79" s="14" t="str">
        <f>IFERROR(__xludf.DUMMYFUNCTION("""COMPUTED_VALUE"""),"經由第三方查核確認")</f>
        <v>經由第三方查核確認</v>
      </c>
      <c r="C79" s="6"/>
      <c r="D79" s="15">
        <f>IFERROR(__xludf.DUMMYFUNCTION("""COMPUTED_VALUE"""),8.5)</f>
        <v>8.5</v>
      </c>
      <c r="E79" s="16">
        <f>IFERROR(__xludf.DUMMYFUNCTION("""COMPUTED_VALUE"""),0.25)</f>
        <v>0.25</v>
      </c>
      <c r="F79" s="17">
        <f>IFERROR(__xludf.DUMMYFUNCTION("""COMPUTED_VALUE"""),0.8835)</f>
        <v>0.8835</v>
      </c>
      <c r="G79" s="17">
        <f>IFERROR(__xludf.DUMMYFUNCTION("""COMPUTED_VALUE"""),0.11650000000000005)</f>
        <v>0.1165</v>
      </c>
      <c r="H79" s="17" t="str">
        <f t="shared" ref="H79:I79" si="9">TEXT(ROUND(F79,3),"0.0%")</f>
        <v>88.4%</v>
      </c>
      <c r="I79" s="17" t="str">
        <f t="shared" si="9"/>
        <v>11.7%</v>
      </c>
      <c r="J79" s="18"/>
      <c r="K79" s="13" t="str">
        <f>B79</f>
        <v>經由第三方查核確認</v>
      </c>
      <c r="L79" s="13"/>
    </row>
    <row r="80" ht="18.75" customHeight="1">
      <c r="A80" s="19"/>
      <c r="B80" s="20"/>
      <c r="C80" s="12"/>
      <c r="D80" s="19"/>
      <c r="E80" s="19"/>
      <c r="F80" s="21"/>
      <c r="G80" s="21"/>
      <c r="H80" s="21"/>
      <c r="I80" s="21"/>
      <c r="J80" s="18"/>
      <c r="K80" s="19"/>
      <c r="L80" s="19"/>
    </row>
    <row r="81" ht="18.75" customHeight="1">
      <c r="A81" s="22" t="str">
        <f>IFERROR(__xludf.DUMMYFUNCTION("""COMPUTED_VALUE"""),"充電上限受到遠端監控")</f>
        <v>充電上限受到遠端監控</v>
      </c>
      <c r="B81" s="23" t="b">
        <f>IFERROR(__xludf.DUMMYFUNCTION("""COMPUTED_VALUE"""),TRUE)</f>
        <v>1</v>
      </c>
      <c r="C81" s="24" t="str">
        <f>IFERROR(__xludf.DUMMYFUNCTION("""COMPUTED_VALUE"""),"模組充電上限受到遠端監控")</f>
        <v>模組充電上限受到遠端監控</v>
      </c>
      <c r="D81" s="25">
        <f>IFERROR(__xludf.DUMMYFUNCTION("""COMPUTED_VALUE"""),9.0)</f>
        <v>9</v>
      </c>
      <c r="E81" s="26">
        <f>IFERROR(__xludf.DUMMYFUNCTION("""COMPUTED_VALUE"""),0.25)</f>
        <v>0.25</v>
      </c>
      <c r="F81" s="21"/>
      <c r="G81" s="21"/>
      <c r="H81" s="21"/>
      <c r="I81" s="21"/>
      <c r="J81" s="18"/>
      <c r="K81" s="24" t="str">
        <f>IFERROR(__xludf.DUMMYFUNCTION("IF(TO_TEXT(B81)=""TRUE"", C81,"""")"),"模組充電上限受到遠端監控")</f>
        <v>模組充電上限受到遠端監控</v>
      </c>
      <c r="L81" s="23" t="str">
        <f>IF(K81="","", IF(K82="","；","、"))</f>
        <v>、</v>
      </c>
    </row>
    <row r="82" ht="18.75" customHeight="1">
      <c r="A82" s="19"/>
      <c r="B82" s="23" t="b">
        <f>IFERROR(__xludf.DUMMYFUNCTION("""COMPUTED_VALUE"""),TRUE)</f>
        <v>1</v>
      </c>
      <c r="C82" s="24" t="str">
        <f>IFERROR(__xludf.DUMMYFUNCTION("""COMPUTED_VALUE"""),"機櫃充電上限受到遠端監控")</f>
        <v>機櫃充電上限受到遠端監控</v>
      </c>
      <c r="D82" s="19"/>
      <c r="E82" s="19"/>
      <c r="F82" s="21"/>
      <c r="G82" s="21"/>
      <c r="H82" s="21"/>
      <c r="I82" s="21"/>
      <c r="J82" s="18"/>
      <c r="K82" s="24" t="str">
        <f>IFERROR(__xludf.DUMMYFUNCTION("IF(TO_TEXT(B82)=""TRUE"", C82,"""")"),"機櫃充電上限受到遠端監控")</f>
        <v>機櫃充電上限受到遠端監控</v>
      </c>
      <c r="L82" s="23" t="str">
        <f>IF(K82="","","；")</f>
        <v>；</v>
      </c>
    </row>
    <row r="83" ht="18.75" customHeight="1">
      <c r="A83" s="22" t="str">
        <f>IFERROR(__xludf.DUMMYFUNCTION("""COMPUTED_VALUE"""),"充電上限異常發出警告訊號")</f>
        <v>充電上限異常發出警告訊號</v>
      </c>
      <c r="B83" s="23" t="b">
        <f>IFERROR(__xludf.DUMMYFUNCTION("""COMPUTED_VALUE"""),FALSE)</f>
        <v>0</v>
      </c>
      <c r="C83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83" s="25">
        <f>IFERROR(__xludf.DUMMYFUNCTION("""COMPUTED_VALUE"""),9.0)</f>
        <v>9</v>
      </c>
      <c r="E83" s="26">
        <f>IFERROR(__xludf.DUMMYFUNCTION("""COMPUTED_VALUE"""),0.4)</f>
        <v>0.4</v>
      </c>
      <c r="F83" s="21"/>
      <c r="G83" s="21"/>
      <c r="H83" s="21"/>
      <c r="I83" s="21"/>
      <c r="J83" s="18"/>
      <c r="K83" s="24" t="str">
        <f>IFERROR(__xludf.DUMMYFUNCTION("IF(TO_TEXT(B83)=""TRUE"", C83,"""")"),"")</f>
        <v/>
      </c>
      <c r="L83" s="23" t="str">
        <f>IF(K83="","", IF(K84="","；","、"))</f>
        <v/>
      </c>
    </row>
    <row r="84" ht="18.75" customHeight="1">
      <c r="A84" s="21"/>
      <c r="B84" s="23" t="b">
        <f>IFERROR(__xludf.DUMMYFUNCTION("""COMPUTED_VALUE"""),TRUE)</f>
        <v>1</v>
      </c>
      <c r="C84" s="24" t="str">
        <f>IFERROR(__xludf.DUMMYFUNCTION("""COMPUTED_VALUE"""),"BMS通過Test Report - IEC 60730-1 - Annex H測試")</f>
        <v>BMS通過Test Report - IEC 60730-1 - Annex H測試</v>
      </c>
      <c r="D84" s="21"/>
      <c r="E84" s="21"/>
      <c r="F84" s="21"/>
      <c r="G84" s="21"/>
      <c r="H84" s="21"/>
      <c r="I84" s="21"/>
      <c r="J84" s="18"/>
      <c r="K84" s="24" t="str">
        <f>IFERROR(__xludf.DUMMYFUNCTION("IF(TO_TEXT(B84)=""TRUE"", C84,"""")"),"BMS通過Test Report - IEC 60730-1 - Annex H測試")</f>
        <v>BMS通過Test Report - IEC 60730-1 - Annex H測試</v>
      </c>
      <c r="L84" s="23" t="str">
        <f>IF(K85="","；","、")</f>
        <v>、</v>
      </c>
    </row>
    <row r="85" ht="18.75" customHeight="1">
      <c r="A85" s="19"/>
      <c r="B85" s="23" t="b">
        <f>IFERROR(__xludf.DUMMYFUNCTION("""COMPUTED_VALUE"""),TRUE)</f>
        <v>1</v>
      </c>
      <c r="C85" s="24" t="str">
        <f>IFERROR(__xludf.DUMMYFUNCTION("""COMPUTED_VALUE"""),"異常訊號可同時通知現場及遠端管理人員")</f>
        <v>異常訊號可同時通知現場及遠端管理人員</v>
      </c>
      <c r="D85" s="19"/>
      <c r="E85" s="19"/>
      <c r="F85" s="21"/>
      <c r="G85" s="21"/>
      <c r="H85" s="21"/>
      <c r="I85" s="21"/>
      <c r="J85" s="18"/>
      <c r="K85" s="24" t="str">
        <f>IFERROR(__xludf.DUMMYFUNCTION("IF(TO_TEXT(B85)=""TRUE"", C85,"""")"),"異常訊號可同時通知現場及遠端管理人員")</f>
        <v>異常訊號可同時通知現場及遠端管理人員</v>
      </c>
      <c r="L85" s="23" t="str">
        <f>IF(K85="","","；")</f>
        <v>；</v>
      </c>
    </row>
    <row r="86" ht="18.75" customHeight="1">
      <c r="A86" s="13" t="str">
        <f>IFERROR(__xludf.DUMMYFUNCTION("""COMPUTED_VALUE"""),"充電上限的歷史紀錄")</f>
        <v>充電上限的歷史紀錄</v>
      </c>
      <c r="B86" s="14" t="str">
        <f>IFERROR(__xludf.DUMMYFUNCTION("""COMPUTED_VALUE"""),"歷史紀錄保存完整")</f>
        <v>歷史紀錄保存完整</v>
      </c>
      <c r="C86" s="6"/>
      <c r="D86" s="15">
        <f>IFERROR(__xludf.DUMMYFUNCTION("""COMPUTED_VALUE"""),8.6)</f>
        <v>8.6</v>
      </c>
      <c r="E86" s="16">
        <f>IFERROR(__xludf.DUMMYFUNCTION("""COMPUTED_VALUE"""),0.1)</f>
        <v>0.1</v>
      </c>
      <c r="F86" s="21"/>
      <c r="G86" s="21"/>
      <c r="H86" s="21"/>
      <c r="I86" s="21"/>
      <c r="J86" s="18"/>
      <c r="K86" s="13" t="str">
        <f>B86</f>
        <v>歷史紀錄保存完整</v>
      </c>
      <c r="L86" s="13"/>
    </row>
    <row r="87" ht="18.75" customHeight="1">
      <c r="A87" s="19"/>
      <c r="B87" s="20"/>
      <c r="C87" s="12"/>
      <c r="D87" s="19"/>
      <c r="E87" s="19"/>
      <c r="F87" s="19"/>
      <c r="G87" s="19"/>
      <c r="H87" s="19"/>
      <c r="I87" s="19"/>
      <c r="J87" s="18"/>
      <c r="K87" s="19"/>
      <c r="L87" s="19"/>
    </row>
    <row r="88" ht="41.25" customHeight="1">
      <c r="A88" s="1" t="str">
        <f>IFERROR(__xludf.DUMMYFUNCTION("""COMPUTED_VALUE"""),"充電上限控制器故障 F1-c1-2(t)")</f>
        <v>充電上限控制器故障 F1-c1-2(t)</v>
      </c>
      <c r="B88" s="2"/>
      <c r="C88" s="2"/>
      <c r="D88" s="2"/>
      <c r="E88" s="2"/>
      <c r="F88" s="2"/>
      <c r="G88" s="2"/>
      <c r="H88" s="3"/>
      <c r="I88" s="3"/>
      <c r="J88" s="4"/>
      <c r="K88" s="5" t="str">
        <f>"「"&amp;A88&amp;"」的調查問項包括"&amp;A90&amp;"、"&amp;A93&amp;"、"&amp;A96&amp;"等3項。其中，「"&amp;A90&amp;"」方面，設定條件為"&amp;K90&amp;L90&amp;K91&amp;L91&amp;K92&amp;L92&amp;"符合「"&amp;A93&amp;"」的條件，則為"&amp;K93&amp;"；符合「"&amp;A96&amp;"」的條件為"&amp;K96&amp;"。將確證後計算加權分數後，可靠度概率為"&amp;H90&amp;"，"&amp;A88&amp;"的故障率為"&amp;I90&amp;"。"</f>
        <v>「充電上限控制器故障 F1-c1-2(t)」的調查問項包括充電上限控制器通過認證、充電上限控制器定期檢修、充電上限控制器有故障監視等3項。其中，「充電上限控制器通過認證」方面，設定條件為取得 UL 1973 認證證書、取得 CNS 62619 認證證書、符合 IEC 60730 之測試報告；符合「充電上限控制器定期檢修」的條件，則為充電上限控制器二年檢修1次；符合「充電上限控制器有故障監視」的條件為控制器具有故障監視功能。將確證後計算加權分數後，可靠度概率為87.2%，充電上限控制器故障 F1-c1-2(t)的故障率為12.8%。</v>
      </c>
      <c r="L88" s="6"/>
    </row>
    <row r="89" ht="41.25" customHeight="1">
      <c r="A89" s="7" t="str">
        <f>IFERROR(__xludf.DUMMYFUNCTION("""COMPUTED_VALUE"""),"確保可靠度的手段")</f>
        <v>確保可靠度的手段</v>
      </c>
      <c r="B89" s="8" t="str">
        <f>IFERROR(__xludf.DUMMYFUNCTION("""COMPUTED_VALUE"""),"確證方式")</f>
        <v>確證方式</v>
      </c>
      <c r="C89" s="9"/>
      <c r="D89" s="7" t="str">
        <f>IFERROR(__xludf.DUMMYFUNCTION("""COMPUTED_VALUE"""),"得分")</f>
        <v>得分</v>
      </c>
      <c r="E89" s="7" t="str">
        <f>IFERROR(__xludf.DUMMYFUNCTION("""COMPUTED_VALUE"""),"權重")</f>
        <v>權重</v>
      </c>
      <c r="F89" s="7" t="str">
        <f>IFERROR(__xludf.DUMMYFUNCTION("""COMPUTED_VALUE"""),"可靠度
 概率")</f>
        <v>可靠度
 概率</v>
      </c>
      <c r="G89" s="7" t="str">
        <f>IFERROR(__xludf.DUMMYFUNCTION("""COMPUTED_VALUE"""),"F1-c1-2(t)")</f>
        <v>F1-c1-2(t)</v>
      </c>
      <c r="H89" s="7" t="s">
        <v>2</v>
      </c>
      <c r="I89" s="7" t="s">
        <v>11</v>
      </c>
      <c r="J89" s="10"/>
      <c r="K89" s="11"/>
      <c r="L89" s="12"/>
    </row>
    <row r="90" ht="18.75" customHeight="1">
      <c r="A90" s="22" t="str">
        <f>IFERROR(__xludf.DUMMYFUNCTION("""COMPUTED_VALUE"""),"充電上限控制器通過認證")</f>
        <v>充電上限控制器通過認證</v>
      </c>
      <c r="B90" s="23" t="b">
        <f>IFERROR(__xludf.DUMMYFUNCTION("""COMPUTED_VALUE"""),TRUE)</f>
        <v>1</v>
      </c>
      <c r="C90" s="24" t="str">
        <f>IFERROR(__xludf.DUMMYFUNCTION("""COMPUTED_VALUE"""),"取得 UL 1973 認證證書")</f>
        <v>取得 UL 1973 認證證書</v>
      </c>
      <c r="D90" s="25">
        <f>IFERROR(__xludf.DUMMYFUNCTION("""COMPUTED_VALUE"""),9.2)</f>
        <v>9.2</v>
      </c>
      <c r="E90" s="26">
        <f>IFERROR(__xludf.DUMMYFUNCTION("""COMPUTED_VALUE"""),0.4)</f>
        <v>0.4</v>
      </c>
      <c r="F90" s="17">
        <f>IFERROR(__xludf.DUMMYFUNCTION("""COMPUTED_VALUE"""),0.8719999999999999)</f>
        <v>0.872</v>
      </c>
      <c r="G90" s="17">
        <f>IFERROR(__xludf.DUMMYFUNCTION("""COMPUTED_VALUE"""),0.1280000000000001)</f>
        <v>0.128</v>
      </c>
      <c r="H90" s="17" t="str">
        <f t="shared" ref="H90:I90" si="10">TEXT(ROUND(F90,3),"0.0%")</f>
        <v>87.2%</v>
      </c>
      <c r="I90" s="17" t="str">
        <f t="shared" si="10"/>
        <v>12.8%</v>
      </c>
      <c r="J90" s="18"/>
      <c r="K90" s="24" t="str">
        <f>IFERROR(__xludf.DUMMYFUNCTION("IF(TO_TEXT(B90)=""TRUE"", C90,"""")"),"取得 UL 1973 認證證書")</f>
        <v>取得 UL 1973 認證證書</v>
      </c>
      <c r="L90" s="23" t="str">
        <f>IF(K90="","", IF(K91="","；","、"))</f>
        <v>、</v>
      </c>
    </row>
    <row r="91" ht="18.75" customHeight="1">
      <c r="A91" s="21"/>
      <c r="B91" s="23" t="b">
        <f>IFERROR(__xludf.DUMMYFUNCTION("""COMPUTED_VALUE"""),TRUE)</f>
        <v>1</v>
      </c>
      <c r="C91" s="24" t="str">
        <f>IFERROR(__xludf.DUMMYFUNCTION("""COMPUTED_VALUE"""),"取得 CNS 62619 認證證書")</f>
        <v>取得 CNS 62619 認證證書</v>
      </c>
      <c r="D91" s="21"/>
      <c r="E91" s="21"/>
      <c r="F91" s="21"/>
      <c r="G91" s="21"/>
      <c r="H91" s="21"/>
      <c r="I91" s="21"/>
      <c r="J91" s="18"/>
      <c r="K91" s="24" t="str">
        <f>IFERROR(__xludf.DUMMYFUNCTION("IF(TO_TEXT(B91)=""TRUE"", C91,"""")"),"取得 CNS 62619 認證證書")</f>
        <v>取得 CNS 62619 認證證書</v>
      </c>
      <c r="L91" s="23" t="str">
        <f>IF(K92="","；","、")</f>
        <v>、</v>
      </c>
    </row>
    <row r="92" ht="18.75" customHeight="1">
      <c r="A92" s="19"/>
      <c r="B92" s="23" t="b">
        <f>IFERROR(__xludf.DUMMYFUNCTION("""COMPUTED_VALUE"""),TRUE)</f>
        <v>1</v>
      </c>
      <c r="C92" s="24" t="str">
        <f>IFERROR(__xludf.DUMMYFUNCTION("""COMPUTED_VALUE"""),"符合 IEC 60730 之測試報告")</f>
        <v>符合 IEC 60730 之測試報告</v>
      </c>
      <c r="D92" s="19"/>
      <c r="E92" s="19"/>
      <c r="F92" s="21"/>
      <c r="G92" s="21"/>
      <c r="H92" s="21"/>
      <c r="I92" s="21"/>
      <c r="J92" s="18"/>
      <c r="K92" s="24" t="str">
        <f>IFERROR(__xludf.DUMMYFUNCTION("IF(TO_TEXT(B92)=""TRUE"", C92,"""")"),"符合 IEC 60730 之測試報告")</f>
        <v>符合 IEC 60730 之測試報告</v>
      </c>
      <c r="L92" s="23" t="str">
        <f>IF(K92="","","；")</f>
        <v>；</v>
      </c>
    </row>
    <row r="93" ht="18.75" customHeight="1">
      <c r="A93" s="13" t="str">
        <f>IFERROR(__xludf.DUMMYFUNCTION("""COMPUTED_VALUE"""),"充電上限控制器定期檢修")</f>
        <v>充電上限控制器定期檢修</v>
      </c>
      <c r="B93" s="14" t="str">
        <f>IFERROR(__xludf.DUMMYFUNCTION("""COMPUTED_VALUE"""),"充電上限控制器二年檢修1次")</f>
        <v>充電上限控制器二年檢修1次</v>
      </c>
      <c r="C93" s="6"/>
      <c r="D93" s="15">
        <f>IFERROR(__xludf.DUMMYFUNCTION("""COMPUTED_VALUE"""),8.2)</f>
        <v>8.2</v>
      </c>
      <c r="E93" s="16">
        <f>IFERROR(__xludf.DUMMYFUNCTION("""COMPUTED_VALUE"""),0.3)</f>
        <v>0.3</v>
      </c>
      <c r="F93" s="21"/>
      <c r="G93" s="21"/>
      <c r="H93" s="21"/>
      <c r="I93" s="21"/>
      <c r="J93" s="18"/>
      <c r="K93" s="13" t="str">
        <f>B93</f>
        <v>充電上限控制器二年檢修1次</v>
      </c>
      <c r="L93" s="13"/>
    </row>
    <row r="94" ht="18.75" customHeight="1">
      <c r="A94" s="21"/>
      <c r="B94" s="27"/>
      <c r="C94" s="28"/>
      <c r="D94" s="21"/>
      <c r="E94" s="21"/>
      <c r="F94" s="21"/>
      <c r="G94" s="21"/>
      <c r="H94" s="21"/>
      <c r="I94" s="21"/>
      <c r="J94" s="18"/>
      <c r="K94" s="21"/>
      <c r="L94" s="21"/>
    </row>
    <row r="95" ht="18.75" customHeight="1">
      <c r="A95" s="19"/>
      <c r="B95" s="20"/>
      <c r="C95" s="12"/>
      <c r="D95" s="19"/>
      <c r="E95" s="19"/>
      <c r="F95" s="21"/>
      <c r="G95" s="21"/>
      <c r="H95" s="21"/>
      <c r="I95" s="21"/>
      <c r="J95" s="18"/>
      <c r="K95" s="19"/>
      <c r="L95" s="19"/>
    </row>
    <row r="96" ht="18.75" customHeight="1">
      <c r="A96" s="13" t="str">
        <f>IFERROR(__xludf.DUMMYFUNCTION("""COMPUTED_VALUE"""),"充電上限控制器有故障監視")</f>
        <v>充電上限控制器有故障監視</v>
      </c>
      <c r="B96" s="14" t="str">
        <f>IFERROR(__xludf.DUMMYFUNCTION("""COMPUTED_VALUE"""),"控制器具有故障監視功能")</f>
        <v>控制器具有故障監視功能</v>
      </c>
      <c r="C96" s="6"/>
      <c r="D96" s="15">
        <f>IFERROR(__xludf.DUMMYFUNCTION("""COMPUTED_VALUE"""),8.6)</f>
        <v>8.6</v>
      </c>
      <c r="E96" s="16">
        <f>IFERROR(__xludf.DUMMYFUNCTION("""COMPUTED_VALUE"""),0.3)</f>
        <v>0.3</v>
      </c>
      <c r="F96" s="21"/>
      <c r="G96" s="21"/>
      <c r="H96" s="21"/>
      <c r="I96" s="21"/>
      <c r="J96" s="18"/>
      <c r="K96" s="13" t="str">
        <f>B96</f>
        <v>控制器具有故障監視功能</v>
      </c>
      <c r="L96" s="13"/>
    </row>
    <row r="97" ht="18.75" customHeight="1">
      <c r="A97" s="19"/>
      <c r="B97" s="20"/>
      <c r="C97" s="12"/>
      <c r="D97" s="19"/>
      <c r="E97" s="19"/>
      <c r="F97" s="19"/>
      <c r="G97" s="19"/>
      <c r="H97" s="19"/>
      <c r="I97" s="19"/>
      <c r="J97" s="29"/>
      <c r="K97" s="19"/>
      <c r="L97" s="19"/>
    </row>
    <row r="98" ht="40.5" customHeight="1">
      <c r="A98" s="1" t="str">
        <f>IFERROR(__xludf.DUMMYFUNCTION("""COMPUTED_VALUE"""),"過充電保護設定不當 F1-c2-1(t)")</f>
        <v>過充電保護設定不當 F1-c2-1(t)</v>
      </c>
      <c r="B98" s="2"/>
      <c r="C98" s="2"/>
      <c r="D98" s="2"/>
      <c r="E98" s="2"/>
      <c r="F98" s="2"/>
      <c r="G98" s="2"/>
      <c r="H98" s="3"/>
      <c r="I98" s="3"/>
      <c r="J98" s="4"/>
      <c r="K98" s="5" t="str">
        <f>"「"&amp;A98&amp;"」的調查問項包括"&amp;A100&amp;"、"&amp;A102&amp;"、"&amp;A105&amp;"等3項。其中，「"&amp;A100&amp;"」方面，設定條件為"&amp;K100&amp;"；"&amp;"符合「"&amp;A102&amp;"」的條件，則為"&amp;K102&amp;L102&amp;K103&amp;L103&amp;"符合「"&amp;A105&amp;"」的條件為"&amp;K105&amp;"。將確證後計算加權分數後，可靠度概率為"&amp;H100&amp;"，"&amp;A98&amp;"的故障率為"&amp;I100&amp;"。"</f>
        <v>「過充電保護設定不當 F1-c2-1(t)」的調查問項包括符合規定的充電保護設定、充電保護異常移報訊號、充電保護作動的歷史紀錄等3項。其中，「符合規定的充電保護設定」方面，設定條件為經由第三方查核確認；符合「充電保護異常移報訊號」的條件，則為BMS通過Test Report - IEC 60730-1 - Annex H測試、符合「充電保護作動的歷史紀錄」的條件為歷史紀錄保存完整。將確證後計算加權分數後，可靠度概率為86.8%，過充電保護設定不當 F1-c2-1(t)的故障率為13.2%。</v>
      </c>
      <c r="L98" s="6"/>
    </row>
    <row r="99" ht="40.5" customHeight="1">
      <c r="A99" s="7" t="str">
        <f>IFERROR(__xludf.DUMMYFUNCTION("""COMPUTED_VALUE"""),"確保可靠度的手段")</f>
        <v>確保可靠度的手段</v>
      </c>
      <c r="B99" s="8" t="str">
        <f>IFERROR(__xludf.DUMMYFUNCTION("""COMPUTED_VALUE"""),"確證方式")</f>
        <v>確證方式</v>
      </c>
      <c r="C99" s="9"/>
      <c r="D99" s="7" t="str">
        <f>IFERROR(__xludf.DUMMYFUNCTION("""COMPUTED_VALUE"""),"得分")</f>
        <v>得分</v>
      </c>
      <c r="E99" s="7" t="str">
        <f>IFERROR(__xludf.DUMMYFUNCTION("""COMPUTED_VALUE"""),"權重")</f>
        <v>權重</v>
      </c>
      <c r="F99" s="7" t="str">
        <f>IFERROR(__xludf.DUMMYFUNCTION("""COMPUTED_VALUE"""),"可靠度概率")</f>
        <v>可靠度概率</v>
      </c>
      <c r="G99" s="7" t="str">
        <f>IFERROR(__xludf.DUMMYFUNCTION("""COMPUTED_VALUE"""),"F1-c2-1(t)")</f>
        <v>F1-c2-1(t)</v>
      </c>
      <c r="H99" s="7" t="s">
        <v>0</v>
      </c>
      <c r="I99" s="7" t="s">
        <v>12</v>
      </c>
      <c r="J99" s="10"/>
      <c r="K99" s="11"/>
      <c r="L99" s="12"/>
    </row>
    <row r="100" ht="18.75" customHeight="1">
      <c r="A100" s="13" t="str">
        <f>IFERROR(__xludf.DUMMYFUNCTION("""COMPUTED_VALUE"""),"符合規定的充電保護設定")</f>
        <v>符合規定的充電保護設定</v>
      </c>
      <c r="B100" s="14" t="str">
        <f>IFERROR(__xludf.DUMMYFUNCTION("""COMPUTED_VALUE"""),"經由第三方查核確認")</f>
        <v>經由第三方查核確認</v>
      </c>
      <c r="C100" s="6"/>
      <c r="D100" s="15">
        <f>IFERROR(__xludf.DUMMYFUNCTION("""COMPUTED_VALUE"""),8.5)</f>
        <v>8.5</v>
      </c>
      <c r="E100" s="16">
        <f>IFERROR(__xludf.DUMMYFUNCTION("""COMPUTED_VALUE"""),0.4)</f>
        <v>0.4</v>
      </c>
      <c r="F100" s="17">
        <f>IFERROR(__xludf.DUMMYFUNCTION("""COMPUTED_VALUE"""),0.868)</f>
        <v>0.868</v>
      </c>
      <c r="G100" s="17">
        <f>IFERROR(__xludf.DUMMYFUNCTION("""COMPUTED_VALUE"""),0.132)</f>
        <v>0.132</v>
      </c>
      <c r="H100" s="17" t="str">
        <f t="shared" ref="H100:I100" si="11">TEXT(ROUND(F100,3),"0.0%")</f>
        <v>86.8%</v>
      </c>
      <c r="I100" s="17" t="str">
        <f t="shared" si="11"/>
        <v>13.2%</v>
      </c>
      <c r="J100" s="18"/>
      <c r="K100" s="13" t="str">
        <f>B100</f>
        <v>經由第三方查核確認</v>
      </c>
      <c r="L100" s="13"/>
    </row>
    <row r="101" ht="18.75" customHeight="1">
      <c r="A101" s="19"/>
      <c r="B101" s="20"/>
      <c r="C101" s="12"/>
      <c r="D101" s="19"/>
      <c r="E101" s="19"/>
      <c r="F101" s="21"/>
      <c r="G101" s="21"/>
      <c r="H101" s="21"/>
      <c r="I101" s="21"/>
      <c r="J101" s="18"/>
      <c r="K101" s="19"/>
      <c r="L101" s="19"/>
    </row>
    <row r="102" ht="18.75" customHeight="1">
      <c r="A102" s="22" t="str">
        <f>IFERROR(__xludf.DUMMYFUNCTION("""COMPUTED_VALUE"""),"充電保護異常移報訊號")</f>
        <v>充電保護異常移報訊號</v>
      </c>
      <c r="B102" s="23" t="b">
        <f>IFERROR(__xludf.DUMMYFUNCTION("""COMPUTED_VALUE"""),FALSE)</f>
        <v>0</v>
      </c>
      <c r="C102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02" s="25">
        <f>IFERROR(__xludf.DUMMYFUNCTION("""COMPUTED_VALUE"""),9.0)</f>
        <v>9</v>
      </c>
      <c r="E102" s="26">
        <f>IFERROR(__xludf.DUMMYFUNCTION("""COMPUTED_VALUE"""),0.3)</f>
        <v>0.3</v>
      </c>
      <c r="F102" s="21"/>
      <c r="G102" s="21"/>
      <c r="H102" s="21"/>
      <c r="I102" s="21"/>
      <c r="J102" s="18"/>
      <c r="K102" s="24" t="str">
        <f>IFERROR(__xludf.DUMMYFUNCTION("IF(TO_TEXT(B102)=""TRUE"", C102,"""")"),"")</f>
        <v/>
      </c>
      <c r="L102" s="23" t="str">
        <f>IF(K102="","", IF(K103="","；","、"))</f>
        <v/>
      </c>
    </row>
    <row r="103" ht="18.75" customHeight="1">
      <c r="A103" s="21"/>
      <c r="B103" s="23" t="b">
        <f>IFERROR(__xludf.DUMMYFUNCTION("""COMPUTED_VALUE"""),TRUE)</f>
        <v>1</v>
      </c>
      <c r="C103" s="24" t="str">
        <f>IFERROR(__xludf.DUMMYFUNCTION("""COMPUTED_VALUE"""),"BMS通過Test Report - IEC 60730-1 - Annex H測試")</f>
        <v>BMS通過Test Report - IEC 60730-1 - Annex H測試</v>
      </c>
      <c r="D103" s="21"/>
      <c r="E103" s="21"/>
      <c r="F103" s="21"/>
      <c r="G103" s="21"/>
      <c r="H103" s="21"/>
      <c r="I103" s="21"/>
      <c r="J103" s="18"/>
      <c r="K103" s="24" t="str">
        <f>IFERROR(__xludf.DUMMYFUNCTION("IF(TO_TEXT(B103)=""TRUE"", C103,"""")"),"BMS通過Test Report - IEC 60730-1 - Annex H測試")</f>
        <v>BMS通過Test Report - IEC 60730-1 - Annex H測試</v>
      </c>
      <c r="L103" s="23" t="str">
        <f>IF(K104="","；","、")</f>
        <v>、</v>
      </c>
    </row>
    <row r="104" ht="18.75" customHeight="1">
      <c r="A104" s="19"/>
      <c r="B104" s="23" t="b">
        <f>IFERROR(__xludf.DUMMYFUNCTION("""COMPUTED_VALUE"""),TRUE)</f>
        <v>1</v>
      </c>
      <c r="C104" s="24" t="str">
        <f>IFERROR(__xludf.DUMMYFUNCTION("""COMPUTED_VALUE"""),"異常訊號可同時通知現場及遠端管理人員")</f>
        <v>異常訊號可同時通知現場及遠端管理人員</v>
      </c>
      <c r="D104" s="19"/>
      <c r="E104" s="19"/>
      <c r="F104" s="21"/>
      <c r="G104" s="21"/>
      <c r="H104" s="21"/>
      <c r="I104" s="21"/>
      <c r="J104" s="18"/>
      <c r="K104" s="24" t="str">
        <f>IFERROR(__xludf.DUMMYFUNCTION("IF(TO_TEXT(B104)=""TRUE"", C104,"""")"),"異常訊號可同時通知現場及遠端管理人員")</f>
        <v>異常訊號可同時通知現場及遠端管理人員</v>
      </c>
      <c r="L104" s="23" t="str">
        <f>IF(K104="","","；")</f>
        <v>；</v>
      </c>
    </row>
    <row r="105" ht="18.75" customHeight="1">
      <c r="A105" s="13" t="str">
        <f>IFERROR(__xludf.DUMMYFUNCTION("""COMPUTED_VALUE"""),"充電保護作動的歷史紀錄")</f>
        <v>充電保護作動的歷史紀錄</v>
      </c>
      <c r="B105" s="14" t="str">
        <f>IFERROR(__xludf.DUMMYFUNCTION("""COMPUTED_VALUE"""),"歷史紀錄保存完整")</f>
        <v>歷史紀錄保存完整</v>
      </c>
      <c r="C105" s="6"/>
      <c r="D105" s="15">
        <f>IFERROR(__xludf.DUMMYFUNCTION("""COMPUTED_VALUE"""),8.6)</f>
        <v>8.6</v>
      </c>
      <c r="E105" s="16">
        <f>IFERROR(__xludf.DUMMYFUNCTION("""COMPUTED_VALUE"""),0.3)</f>
        <v>0.3</v>
      </c>
      <c r="F105" s="21"/>
      <c r="G105" s="21"/>
      <c r="H105" s="21"/>
      <c r="I105" s="21"/>
      <c r="J105" s="18"/>
      <c r="K105" s="13" t="str">
        <f>B105</f>
        <v>歷史紀錄保存完整</v>
      </c>
      <c r="L105" s="13"/>
    </row>
    <row r="106" ht="18.75" customHeight="1">
      <c r="A106" s="19"/>
      <c r="B106" s="20"/>
      <c r="C106" s="12"/>
      <c r="D106" s="19"/>
      <c r="E106" s="19"/>
      <c r="F106" s="19"/>
      <c r="G106" s="19"/>
      <c r="H106" s="19"/>
      <c r="I106" s="19"/>
      <c r="J106" s="18"/>
      <c r="K106" s="19"/>
      <c r="L106" s="19"/>
    </row>
    <row r="107" ht="42.75" customHeight="1">
      <c r="A107" s="1" t="str">
        <f>IFERROR(__xludf.DUMMYFUNCTION("""COMPUTED_VALUE"""),"過充電保護裝置故障 F1-c2-2(t)")</f>
        <v>過充電保護裝置故障 F1-c2-2(t)</v>
      </c>
      <c r="B107" s="2"/>
      <c r="C107" s="2"/>
      <c r="D107" s="2"/>
      <c r="E107" s="2"/>
      <c r="F107" s="2"/>
      <c r="G107" s="2"/>
      <c r="H107" s="3"/>
      <c r="I107" s="3"/>
      <c r="J107" s="4"/>
      <c r="K107" s="5" t="str">
        <f>"「"&amp;A107&amp;"」的調查問項包括"&amp;A109&amp;"、"&amp;A112&amp;"等2項。其中，「"&amp;A109&amp;"」方面，設定條件為"&amp;K109&amp;L109&amp;K110&amp;L110&amp;K111&amp;L111&amp;"符合「"&amp;A112&amp;"」的條件，則為"&amp;K112&amp;"。將確證後計算加權分數後，可靠度概率為"&amp;H109&amp;"，"&amp;A107&amp;"的故障率為"&amp;I109&amp;"。"</f>
        <v>「過充電保護裝置故障 F1-c2-2(t)」的調查問項包括過充電保護裝置通過認證、過充電保護裝置定期檢修等2項。其中，「過充電保護裝置通過認證」方面，設定條件為取得 UL 1973 認證證書、取得 CNS 62619 認證證書、符合 IEC 60730 之測試報告；符合「過充電保護裝置定期檢修」的條件，則為過充電保護裝置二年檢修1次。將確證後計算加權分數後，可靠度概率為88.0%，過充電保護裝置故障 F1-c2-2(t)的故障率為12.0%。</v>
      </c>
      <c r="L107" s="6"/>
    </row>
    <row r="108" ht="42.75" customHeight="1">
      <c r="A108" s="7" t="str">
        <f>IFERROR(__xludf.DUMMYFUNCTION("""COMPUTED_VALUE"""),"確保可靠度的手段")</f>
        <v>確保可靠度的手段</v>
      </c>
      <c r="B108" s="8" t="str">
        <f>IFERROR(__xludf.DUMMYFUNCTION("""COMPUTED_VALUE"""),"確證方式")</f>
        <v>確證方式</v>
      </c>
      <c r="C108" s="9"/>
      <c r="D108" s="7" t="str">
        <f>IFERROR(__xludf.DUMMYFUNCTION("""COMPUTED_VALUE"""),"得分")</f>
        <v>得分</v>
      </c>
      <c r="E108" s="7" t="str">
        <f>IFERROR(__xludf.DUMMYFUNCTION("""COMPUTED_VALUE"""),"權重")</f>
        <v>權重</v>
      </c>
      <c r="F108" s="7" t="str">
        <f>IFERROR(__xludf.DUMMYFUNCTION("""COMPUTED_VALUE"""),"可靠度
 概率")</f>
        <v>可靠度
 概率</v>
      </c>
      <c r="G108" s="7" t="str">
        <f>IFERROR(__xludf.DUMMYFUNCTION("""COMPUTED_VALUE"""),"F1-c2-2(t)")</f>
        <v>F1-c2-2(t)</v>
      </c>
      <c r="H108" s="7" t="s">
        <v>2</v>
      </c>
      <c r="I108" s="7" t="s">
        <v>13</v>
      </c>
      <c r="J108" s="10"/>
      <c r="K108" s="11"/>
      <c r="L108" s="12"/>
    </row>
    <row r="109" ht="18.75" customHeight="1">
      <c r="A109" s="22" t="str">
        <f>IFERROR(__xludf.DUMMYFUNCTION("""COMPUTED_VALUE"""),"過充電保護裝置通過認證")</f>
        <v>過充電保護裝置通過認證</v>
      </c>
      <c r="B109" s="23" t="b">
        <f>IFERROR(__xludf.DUMMYFUNCTION("""COMPUTED_VALUE"""),TRUE)</f>
        <v>1</v>
      </c>
      <c r="C109" s="24" t="str">
        <f>IFERROR(__xludf.DUMMYFUNCTION("""COMPUTED_VALUE"""),"取得 UL 1973 認證證書")</f>
        <v>取得 UL 1973 認證證書</v>
      </c>
      <c r="D109" s="25">
        <f>IFERROR(__xludf.DUMMYFUNCTION("""COMPUTED_VALUE"""),9.2)</f>
        <v>9.2</v>
      </c>
      <c r="E109" s="26">
        <f>IFERROR(__xludf.DUMMYFUNCTION("""COMPUTED_VALUE"""),0.6)</f>
        <v>0.6</v>
      </c>
      <c r="F109" s="17">
        <f>IFERROR(__xludf.DUMMYFUNCTION("""COMPUTED_VALUE"""),0.8799999999999999)</f>
        <v>0.88</v>
      </c>
      <c r="G109" s="17">
        <f>IFERROR(__xludf.DUMMYFUNCTION("""COMPUTED_VALUE"""),0.1200000000000001)</f>
        <v>0.12</v>
      </c>
      <c r="H109" s="17" t="str">
        <f t="shared" ref="H109:I109" si="12">TEXT(ROUND(F109,3),"0.0%")</f>
        <v>88.0%</v>
      </c>
      <c r="I109" s="17" t="str">
        <f t="shared" si="12"/>
        <v>12.0%</v>
      </c>
      <c r="J109" s="18"/>
      <c r="K109" s="24" t="str">
        <f>IFERROR(__xludf.DUMMYFUNCTION("IF(TO_TEXT(B109)=""TRUE"", C109,"""")"),"取得 UL 1973 認證證書")</f>
        <v>取得 UL 1973 認證證書</v>
      </c>
      <c r="L109" s="23" t="str">
        <f>IF(K109="","", IF(K110="","；","、"))</f>
        <v>、</v>
      </c>
    </row>
    <row r="110" ht="18.75" customHeight="1">
      <c r="A110" s="21"/>
      <c r="B110" s="23" t="b">
        <f>IFERROR(__xludf.DUMMYFUNCTION("""COMPUTED_VALUE"""),TRUE)</f>
        <v>1</v>
      </c>
      <c r="C110" s="24" t="str">
        <f>IFERROR(__xludf.DUMMYFUNCTION("""COMPUTED_VALUE"""),"取得 CNS 62619 認證證書")</f>
        <v>取得 CNS 62619 認證證書</v>
      </c>
      <c r="D110" s="21"/>
      <c r="E110" s="21"/>
      <c r="F110" s="21"/>
      <c r="G110" s="21"/>
      <c r="H110" s="21"/>
      <c r="I110" s="21"/>
      <c r="J110" s="18"/>
      <c r="K110" s="24" t="str">
        <f>IFERROR(__xludf.DUMMYFUNCTION("IF(TO_TEXT(B110)=""TRUE"", C110,"""")"),"取得 CNS 62619 認證證書")</f>
        <v>取得 CNS 62619 認證證書</v>
      </c>
      <c r="L110" s="23" t="str">
        <f>IF(K111="","；","、")</f>
        <v>、</v>
      </c>
    </row>
    <row r="111" ht="18.75" customHeight="1">
      <c r="A111" s="19"/>
      <c r="B111" s="23" t="b">
        <f>IFERROR(__xludf.DUMMYFUNCTION("""COMPUTED_VALUE"""),TRUE)</f>
        <v>1</v>
      </c>
      <c r="C111" s="24" t="str">
        <f>IFERROR(__xludf.DUMMYFUNCTION("""COMPUTED_VALUE"""),"符合 IEC 60730 之測試報告")</f>
        <v>符合 IEC 60730 之測試報告</v>
      </c>
      <c r="D111" s="19"/>
      <c r="E111" s="19"/>
      <c r="F111" s="21"/>
      <c r="G111" s="21"/>
      <c r="H111" s="21"/>
      <c r="I111" s="21"/>
      <c r="J111" s="18"/>
      <c r="K111" s="24" t="str">
        <f>IFERROR(__xludf.DUMMYFUNCTION("IF(TO_TEXT(B111)=""TRUE"", C111,"""")"),"符合 IEC 60730 之測試報告")</f>
        <v>符合 IEC 60730 之測試報告</v>
      </c>
      <c r="L111" s="23" t="str">
        <f>IF(K111="","","；")</f>
        <v>；</v>
      </c>
    </row>
    <row r="112" ht="18.75" customHeight="1">
      <c r="A112" s="13" t="str">
        <f>IFERROR(__xludf.DUMMYFUNCTION("""COMPUTED_VALUE"""),"過充電保護裝置定期檢修")</f>
        <v>過充電保護裝置定期檢修</v>
      </c>
      <c r="B112" s="14" t="str">
        <f>IFERROR(__xludf.DUMMYFUNCTION("""COMPUTED_VALUE"""),"過充電保護裝置二年檢修1次")</f>
        <v>過充電保護裝置二年檢修1次</v>
      </c>
      <c r="C112" s="6"/>
      <c r="D112" s="15">
        <f>IFERROR(__xludf.DUMMYFUNCTION("""COMPUTED_VALUE"""),8.2)</f>
        <v>8.2</v>
      </c>
      <c r="E112" s="16">
        <f>IFERROR(__xludf.DUMMYFUNCTION("""COMPUTED_VALUE"""),0.4)</f>
        <v>0.4</v>
      </c>
      <c r="F112" s="21"/>
      <c r="G112" s="21"/>
      <c r="H112" s="21"/>
      <c r="I112" s="21"/>
      <c r="J112" s="18"/>
      <c r="K112" s="13" t="str">
        <f>B112</f>
        <v>過充電保護裝置二年檢修1次</v>
      </c>
      <c r="L112" s="13"/>
    </row>
    <row r="113" ht="18.75" customHeight="1">
      <c r="A113" s="21"/>
      <c r="B113" s="27"/>
      <c r="C113" s="28"/>
      <c r="D113" s="21"/>
      <c r="E113" s="21"/>
      <c r="F113" s="21"/>
      <c r="G113" s="21"/>
      <c r="H113" s="21"/>
      <c r="I113" s="21"/>
      <c r="J113" s="18"/>
      <c r="K113" s="21"/>
      <c r="L113" s="21"/>
    </row>
    <row r="114" ht="18.75" customHeight="1">
      <c r="A114" s="19"/>
      <c r="B114" s="20"/>
      <c r="C114" s="12"/>
      <c r="D114" s="19"/>
      <c r="E114" s="19"/>
      <c r="F114" s="19"/>
      <c r="G114" s="19"/>
      <c r="H114" s="19"/>
      <c r="I114" s="19"/>
      <c r="J114" s="18"/>
      <c r="K114" s="19"/>
      <c r="L114" s="19"/>
    </row>
    <row r="115" ht="57.0" customHeight="1">
      <c r="A115" s="1" t="str">
        <f>IFERROR(__xludf.DUMMYFUNCTION("""COMPUTED_VALUE"""),"放電下限設定不當 F1-d1-1(t)")</f>
        <v>放電下限設定不當 F1-d1-1(t)</v>
      </c>
      <c r="B115" s="2"/>
      <c r="C115" s="2"/>
      <c r="D115" s="2"/>
      <c r="E115" s="2"/>
      <c r="F115" s="2"/>
      <c r="G115" s="2"/>
      <c r="H115" s="3"/>
      <c r="I115" s="3"/>
      <c r="J115" s="4"/>
      <c r="K115" s="5" t="str">
        <f>"在故障樹的第3階火災成因分析中，「"&amp;A115&amp;"」的調查問項包括"&amp;A117&amp;"、"&amp;A119&amp;"、"&amp;A121&amp;"、"&amp;A124&amp;"等4項。其中，「"&amp;A117&amp;"」方面，設定條件為"&amp;K117&amp;"；"&amp;"符合「"&amp;A119&amp;"」的條件，則為"&amp;K119&amp;L119&amp;K120&amp;L120&amp;"符合「"&amp;A121&amp;"」的條件為"&amp;K121&amp;L121&amp;K122&amp;L122&amp;K123&amp;L123&amp;"「"&amp;A124&amp;"」的設定為"&amp;K124&amp;"。將確證後計算加權分數後，可靠度概率為"&amp;H117&amp;"，"&amp;A115&amp;"的故障率為"&amp;I117&amp;"。"</f>
        <v>在故障樹的第3階火災成因分析中，「放電下限設定不當 F1-d1-1(t)」的調查問項包括符合規定的放電下限設定、放電下限受到遠端監控、放電下限異常發出警告訊號、放電下限的歷史紀錄等4項。其中，「符合規定的放電下限設定」方面，設定條件為經由第三方查核確認；符合「放電下限受到遠端監控」的條件，則為模組充電電壓受到遠端監控且設定值符合規範、機櫃充電電壓受到遠端監控且設定值符合規範；符合「放電下限異常發出警告訊號」的條件為BMS通過Test Report - IEC 60730-1 - Annex H測試、異常訊號可同時通知現場及遠端管理人員；「放電下限的歷史紀錄」的設定為歷史紀錄保存完整。將確證後計算加權分數後，可靠度概率為88.9%，放電下限設定不當 F1-d1-1(t)的故障率為11.2%。</v>
      </c>
      <c r="L115" s="6"/>
    </row>
    <row r="116" ht="57.0" customHeight="1">
      <c r="A116" s="7" t="str">
        <f>IFERROR(__xludf.DUMMYFUNCTION("""COMPUTED_VALUE"""),"確保可靠度的手段")</f>
        <v>確保可靠度的手段</v>
      </c>
      <c r="B116" s="8" t="str">
        <f>IFERROR(__xludf.DUMMYFUNCTION("""COMPUTED_VALUE"""),"確證方式")</f>
        <v>確證方式</v>
      </c>
      <c r="C116" s="9"/>
      <c r="D116" s="7" t="str">
        <f>IFERROR(__xludf.DUMMYFUNCTION("""COMPUTED_VALUE"""),"得分")</f>
        <v>得分</v>
      </c>
      <c r="E116" s="7" t="str">
        <f>IFERROR(__xludf.DUMMYFUNCTION("""COMPUTED_VALUE"""),"權重")</f>
        <v>權重</v>
      </c>
      <c r="F116" s="7" t="str">
        <f>IFERROR(__xludf.DUMMYFUNCTION("""COMPUTED_VALUE"""),"可靠度概率")</f>
        <v>可靠度概率</v>
      </c>
      <c r="G116" s="7" t="str">
        <f>IFERROR(__xludf.DUMMYFUNCTION("""COMPUTED_VALUE"""),"F1-d1-1(t)")</f>
        <v>F1-d1-1(t)</v>
      </c>
      <c r="H116" s="7" t="s">
        <v>0</v>
      </c>
      <c r="I116" s="7" t="s">
        <v>14</v>
      </c>
      <c r="J116" s="10"/>
      <c r="K116" s="11"/>
      <c r="L116" s="12"/>
    </row>
    <row r="117" ht="18.75" customHeight="1">
      <c r="A117" s="13" t="str">
        <f>IFERROR(__xludf.DUMMYFUNCTION("""COMPUTED_VALUE"""),"符合規定的放電下限設定")</f>
        <v>符合規定的放電下限設定</v>
      </c>
      <c r="B117" s="14" t="str">
        <f>IFERROR(__xludf.DUMMYFUNCTION("""COMPUTED_VALUE"""),"經由第三方查核確認")</f>
        <v>經由第三方查核確認</v>
      </c>
      <c r="C117" s="6"/>
      <c r="D117" s="15">
        <f>IFERROR(__xludf.DUMMYFUNCTION("""COMPUTED_VALUE"""),8.5)</f>
        <v>8.5</v>
      </c>
      <c r="E117" s="16">
        <f>IFERROR(__xludf.DUMMYFUNCTION("""COMPUTED_VALUE"""),0.25)</f>
        <v>0.25</v>
      </c>
      <c r="F117" s="17">
        <f>IFERROR(__xludf.DUMMYFUNCTION("""COMPUTED_VALUE"""),0.8885)</f>
        <v>0.8885</v>
      </c>
      <c r="G117" s="17">
        <f>IFERROR(__xludf.DUMMYFUNCTION("""COMPUTED_VALUE"""),0.11150000000000004)</f>
        <v>0.1115</v>
      </c>
      <c r="H117" s="17" t="str">
        <f t="shared" ref="H117:I117" si="13">TEXT(ROUND(F117,3),"0.0%")</f>
        <v>88.9%</v>
      </c>
      <c r="I117" s="17" t="str">
        <f t="shared" si="13"/>
        <v>11.2%</v>
      </c>
      <c r="J117" s="18"/>
      <c r="K117" s="13" t="str">
        <f>B117</f>
        <v>經由第三方查核確認</v>
      </c>
      <c r="L117" s="13"/>
    </row>
    <row r="118" ht="18.75" customHeight="1">
      <c r="A118" s="19"/>
      <c r="B118" s="20"/>
      <c r="C118" s="12"/>
      <c r="D118" s="19"/>
      <c r="E118" s="19"/>
      <c r="F118" s="21"/>
      <c r="G118" s="21"/>
      <c r="H118" s="21"/>
      <c r="I118" s="21"/>
      <c r="J118" s="18"/>
      <c r="K118" s="19"/>
      <c r="L118" s="19"/>
    </row>
    <row r="119" ht="18.75" customHeight="1">
      <c r="A119" s="22" t="str">
        <f>IFERROR(__xludf.DUMMYFUNCTION("""COMPUTED_VALUE"""),"放電下限受到遠端監控")</f>
        <v>放電下限受到遠端監控</v>
      </c>
      <c r="B119" s="23" t="b">
        <f>IFERROR(__xludf.DUMMYFUNCTION("""COMPUTED_VALUE"""),TRUE)</f>
        <v>1</v>
      </c>
      <c r="C119" s="24" t="str">
        <f>IFERROR(__xludf.DUMMYFUNCTION("""COMPUTED_VALUE"""),"模組充電電壓受到遠端監控且設定值符合規範")</f>
        <v>模組充電電壓受到遠端監控且設定值符合規範</v>
      </c>
      <c r="D119" s="25">
        <f>IFERROR(__xludf.DUMMYFUNCTION("""COMPUTED_VALUE"""),9.2)</f>
        <v>9.2</v>
      </c>
      <c r="E119" s="26">
        <f>IFERROR(__xludf.DUMMYFUNCTION("""COMPUTED_VALUE"""),0.25)</f>
        <v>0.25</v>
      </c>
      <c r="F119" s="21"/>
      <c r="G119" s="21"/>
      <c r="H119" s="21"/>
      <c r="I119" s="21"/>
      <c r="J119" s="18"/>
      <c r="K119" s="24" t="str">
        <f>IFERROR(__xludf.DUMMYFUNCTION("IF(TO_TEXT(B119)=""TRUE"", C119,"""")"),"模組充電電壓受到遠端監控且設定值符合規範")</f>
        <v>模組充電電壓受到遠端監控且設定值符合規範</v>
      </c>
      <c r="L119" s="23" t="str">
        <f>IF(K119="","", IF(K120="","；","、"))</f>
        <v>、</v>
      </c>
    </row>
    <row r="120" ht="18.75" customHeight="1">
      <c r="A120" s="19"/>
      <c r="B120" s="23" t="b">
        <f>IFERROR(__xludf.DUMMYFUNCTION("""COMPUTED_VALUE"""),TRUE)</f>
        <v>1</v>
      </c>
      <c r="C120" s="24" t="str">
        <f>IFERROR(__xludf.DUMMYFUNCTION("""COMPUTED_VALUE"""),"機櫃充電電壓受到遠端監控且設定值符合規範")</f>
        <v>機櫃充電電壓受到遠端監控且設定值符合規範</v>
      </c>
      <c r="D120" s="19"/>
      <c r="E120" s="19"/>
      <c r="F120" s="21"/>
      <c r="G120" s="21"/>
      <c r="H120" s="21"/>
      <c r="I120" s="21"/>
      <c r="J120" s="18"/>
      <c r="K120" s="24" t="str">
        <f>IFERROR(__xludf.DUMMYFUNCTION("IF(TO_TEXT(B120)=""TRUE"", C120,"""")"),"機櫃充電電壓受到遠端監控且設定值符合規範")</f>
        <v>機櫃充電電壓受到遠端監控且設定值符合規範</v>
      </c>
      <c r="L120" s="23" t="str">
        <f>IF(K120="","","；")</f>
        <v>；</v>
      </c>
    </row>
    <row r="121" ht="18.75" customHeight="1">
      <c r="A121" s="22" t="str">
        <f>IFERROR(__xludf.DUMMYFUNCTION("""COMPUTED_VALUE"""),"放電下限異常發出警告訊號")</f>
        <v>放電下限異常發出警告訊號</v>
      </c>
      <c r="B121" s="23" t="b">
        <f>IFERROR(__xludf.DUMMYFUNCTION("""COMPUTED_VALUE"""),FALSE)</f>
        <v>0</v>
      </c>
      <c r="C121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21" s="25">
        <f>IFERROR(__xludf.DUMMYFUNCTION("""COMPUTED_VALUE"""),9.0)</f>
        <v>9</v>
      </c>
      <c r="E121" s="26">
        <f>IFERROR(__xludf.DUMMYFUNCTION("""COMPUTED_VALUE"""),0.4)</f>
        <v>0.4</v>
      </c>
      <c r="F121" s="21"/>
      <c r="G121" s="21"/>
      <c r="H121" s="21"/>
      <c r="I121" s="21"/>
      <c r="J121" s="18"/>
      <c r="K121" s="24" t="str">
        <f>IFERROR(__xludf.DUMMYFUNCTION("IF(TO_TEXT(B121)=""TRUE"", C121,"""")"),"")</f>
        <v/>
      </c>
      <c r="L121" s="23" t="str">
        <f>IF(K121="","", IF(K122="","；","、"))</f>
        <v/>
      </c>
    </row>
    <row r="122" ht="18.75" customHeight="1">
      <c r="A122" s="21"/>
      <c r="B122" s="23" t="b">
        <f>IFERROR(__xludf.DUMMYFUNCTION("""COMPUTED_VALUE"""),TRUE)</f>
        <v>1</v>
      </c>
      <c r="C122" s="24" t="str">
        <f>IFERROR(__xludf.DUMMYFUNCTION("""COMPUTED_VALUE"""),"BMS通過Test Report - IEC 60730-1 - Annex H測試")</f>
        <v>BMS通過Test Report - IEC 60730-1 - Annex H測試</v>
      </c>
      <c r="D122" s="21"/>
      <c r="E122" s="21"/>
      <c r="F122" s="21"/>
      <c r="G122" s="21"/>
      <c r="H122" s="21"/>
      <c r="I122" s="21"/>
      <c r="J122" s="18"/>
      <c r="K122" s="24" t="str">
        <f>IFERROR(__xludf.DUMMYFUNCTION("IF(TO_TEXT(B122)=""TRUE"", C122,"""")"),"BMS通過Test Report - IEC 60730-1 - Annex H測試")</f>
        <v>BMS通過Test Report - IEC 60730-1 - Annex H測試</v>
      </c>
      <c r="L122" s="23" t="str">
        <f>IF(K123="","；","、")</f>
        <v>、</v>
      </c>
    </row>
    <row r="123" ht="18.75" customHeight="1">
      <c r="A123" s="19"/>
      <c r="B123" s="23" t="b">
        <f>IFERROR(__xludf.DUMMYFUNCTION("""COMPUTED_VALUE"""),TRUE)</f>
        <v>1</v>
      </c>
      <c r="C123" s="24" t="str">
        <f>IFERROR(__xludf.DUMMYFUNCTION("""COMPUTED_VALUE"""),"異常訊號可同時通知現場及遠端管理人員")</f>
        <v>異常訊號可同時通知現場及遠端管理人員</v>
      </c>
      <c r="D123" s="19"/>
      <c r="E123" s="19"/>
      <c r="F123" s="21"/>
      <c r="G123" s="21"/>
      <c r="H123" s="21"/>
      <c r="I123" s="21"/>
      <c r="J123" s="18"/>
      <c r="K123" s="24" t="str">
        <f>IFERROR(__xludf.DUMMYFUNCTION("IF(TO_TEXT(B123)=""TRUE"", C123,"""")"),"異常訊號可同時通知現場及遠端管理人員")</f>
        <v>異常訊號可同時通知現場及遠端管理人員</v>
      </c>
      <c r="L123" s="23" t="str">
        <f>IF(K123="","","；")</f>
        <v>；</v>
      </c>
    </row>
    <row r="124" ht="18.75" customHeight="1">
      <c r="A124" s="13" t="str">
        <f>IFERROR(__xludf.DUMMYFUNCTION("""COMPUTED_VALUE"""),"放電下限的歷史紀錄")</f>
        <v>放電下限的歷史紀錄</v>
      </c>
      <c r="B124" s="14" t="str">
        <f>IFERROR(__xludf.DUMMYFUNCTION("""COMPUTED_VALUE"""),"歷史紀錄保存完整")</f>
        <v>歷史紀錄保存完整</v>
      </c>
      <c r="C124" s="6"/>
      <c r="D124" s="15">
        <f>IFERROR(__xludf.DUMMYFUNCTION("""COMPUTED_VALUE"""),8.6)</f>
        <v>8.6</v>
      </c>
      <c r="E124" s="16">
        <f>IFERROR(__xludf.DUMMYFUNCTION("""COMPUTED_VALUE"""),0.1)</f>
        <v>0.1</v>
      </c>
      <c r="F124" s="21"/>
      <c r="G124" s="21"/>
      <c r="H124" s="21"/>
      <c r="I124" s="21"/>
      <c r="J124" s="18"/>
      <c r="K124" s="13" t="str">
        <f>B124</f>
        <v>歷史紀錄保存完整</v>
      </c>
      <c r="L124" s="13"/>
    </row>
    <row r="125" ht="18.75" customHeight="1">
      <c r="A125" s="19"/>
      <c r="B125" s="20"/>
      <c r="C125" s="12"/>
      <c r="D125" s="19"/>
      <c r="E125" s="19"/>
      <c r="F125" s="19"/>
      <c r="G125" s="19"/>
      <c r="H125" s="19"/>
      <c r="I125" s="19"/>
      <c r="J125" s="18"/>
      <c r="K125" s="19"/>
      <c r="L125" s="19"/>
    </row>
    <row r="126" ht="38.25" customHeight="1">
      <c r="A126" s="1" t="str">
        <f>IFERROR(__xludf.DUMMYFUNCTION("""COMPUTED_VALUE"""),"放電下限控制器故障 F1-d1-2(t)")</f>
        <v>放電下限控制器故障 F1-d1-2(t)</v>
      </c>
      <c r="B126" s="2"/>
      <c r="C126" s="2"/>
      <c r="D126" s="2"/>
      <c r="E126" s="2"/>
      <c r="F126" s="2"/>
      <c r="G126" s="2"/>
      <c r="H126" s="3"/>
      <c r="I126" s="3"/>
      <c r="J126" s="4"/>
      <c r="K126" s="5" t="str">
        <f>"「"&amp;A126&amp;"」的調查問項包括"&amp;A128&amp;"、"&amp;A131&amp;"、"&amp;A134&amp;"等3項。其中，「"&amp;A128&amp;"」方面，設定條件為"&amp;K128&amp;L128&amp;K129&amp;L129&amp;K130&amp;L130&amp;"符合「"&amp;A131&amp;"」的條件，則為"&amp;K131&amp;"；符合「"&amp;A134&amp;"」的條件為"&amp;K134&amp;"。將確證後計算加權分數後，可靠度概率為"&amp;H128&amp;"，"&amp;A126&amp;"的故障率為"&amp;I128&amp;"。"</f>
        <v>「放電下限控制器故障 F1-d1-2(t)」的調查問項包括放電下限控制器通過認證、放電下限控制器定期檢修、放電下限控制器有故障監視等3項。其中，「放電下限控制器通過認證」方面，設定條件為取得 UL 1973 認證證書、取得 CNS 62619 認證證書、符合 IEC 60730 之測試報告；符合「放電下限控制器定期檢修」的條件，則為放電下限控制器二年檢修1次；符合「放電下限控制器有故障監視」的條件為控制器具有故障監視功能。將確證後計算加權分數後，可靠度概率為87.2%，放電下限控制器故障 F1-d1-2(t)的故障率為12.8%。</v>
      </c>
      <c r="L126" s="6"/>
    </row>
    <row r="127" ht="38.25" customHeight="1">
      <c r="A127" s="7" t="str">
        <f>IFERROR(__xludf.DUMMYFUNCTION("""COMPUTED_VALUE"""),"確保可靠度的手段")</f>
        <v>確保可靠度的手段</v>
      </c>
      <c r="B127" s="8" t="str">
        <f>IFERROR(__xludf.DUMMYFUNCTION("""COMPUTED_VALUE"""),"確證方式")</f>
        <v>確證方式</v>
      </c>
      <c r="C127" s="9"/>
      <c r="D127" s="7" t="str">
        <f>IFERROR(__xludf.DUMMYFUNCTION("""COMPUTED_VALUE"""),"得分")</f>
        <v>得分</v>
      </c>
      <c r="E127" s="7" t="str">
        <f>IFERROR(__xludf.DUMMYFUNCTION("""COMPUTED_VALUE"""),"權重")</f>
        <v>權重</v>
      </c>
      <c r="F127" s="7" t="str">
        <f>IFERROR(__xludf.DUMMYFUNCTION("""COMPUTED_VALUE"""),"可靠度
 概率")</f>
        <v>可靠度
 概率</v>
      </c>
      <c r="G127" s="7" t="str">
        <f>IFERROR(__xludf.DUMMYFUNCTION("""COMPUTED_VALUE"""),"F1-d1-2(t)")</f>
        <v>F1-d1-2(t)</v>
      </c>
      <c r="H127" s="7" t="s">
        <v>2</v>
      </c>
      <c r="I127" s="7" t="s">
        <v>15</v>
      </c>
      <c r="J127" s="10"/>
      <c r="K127" s="11"/>
      <c r="L127" s="12"/>
    </row>
    <row r="128" ht="18.75" customHeight="1">
      <c r="A128" s="22" t="str">
        <f>IFERROR(__xludf.DUMMYFUNCTION("""COMPUTED_VALUE"""),"放電下限控制器通過認證")</f>
        <v>放電下限控制器通過認證</v>
      </c>
      <c r="B128" s="23" t="b">
        <f>IFERROR(__xludf.DUMMYFUNCTION("""COMPUTED_VALUE"""),TRUE)</f>
        <v>1</v>
      </c>
      <c r="C128" s="24" t="str">
        <f>IFERROR(__xludf.DUMMYFUNCTION("""COMPUTED_VALUE"""),"取得 UL 1973 認證證書")</f>
        <v>取得 UL 1973 認證證書</v>
      </c>
      <c r="D128" s="25">
        <f>IFERROR(__xludf.DUMMYFUNCTION("""COMPUTED_VALUE"""),9.2)</f>
        <v>9.2</v>
      </c>
      <c r="E128" s="26">
        <f>IFERROR(__xludf.DUMMYFUNCTION("""COMPUTED_VALUE"""),0.4)</f>
        <v>0.4</v>
      </c>
      <c r="F128" s="17">
        <f>IFERROR(__xludf.DUMMYFUNCTION("""COMPUTED_VALUE"""),0.8719999999999999)</f>
        <v>0.872</v>
      </c>
      <c r="G128" s="17">
        <f>IFERROR(__xludf.DUMMYFUNCTION("""COMPUTED_VALUE"""),0.1280000000000001)</f>
        <v>0.128</v>
      </c>
      <c r="H128" s="17" t="str">
        <f t="shared" ref="H128:I128" si="14">TEXT(ROUND(F128,3),"0.0%")</f>
        <v>87.2%</v>
      </c>
      <c r="I128" s="17" t="str">
        <f t="shared" si="14"/>
        <v>12.8%</v>
      </c>
      <c r="J128" s="18"/>
      <c r="K128" s="24" t="str">
        <f>IFERROR(__xludf.DUMMYFUNCTION("IF(TO_TEXT(B128)=""TRUE"", C128,"""")"),"取得 UL 1973 認證證書")</f>
        <v>取得 UL 1973 認證證書</v>
      </c>
      <c r="L128" s="23" t="str">
        <f>IF(K128="","", IF(K129="","；","、"))</f>
        <v>、</v>
      </c>
    </row>
    <row r="129" ht="18.75" customHeight="1">
      <c r="A129" s="21"/>
      <c r="B129" s="23" t="b">
        <f>IFERROR(__xludf.DUMMYFUNCTION("""COMPUTED_VALUE"""),TRUE)</f>
        <v>1</v>
      </c>
      <c r="C129" s="24" t="str">
        <f>IFERROR(__xludf.DUMMYFUNCTION("""COMPUTED_VALUE"""),"取得 CNS 62619 認證證書")</f>
        <v>取得 CNS 62619 認證證書</v>
      </c>
      <c r="D129" s="21"/>
      <c r="E129" s="21"/>
      <c r="F129" s="21"/>
      <c r="G129" s="21"/>
      <c r="H129" s="21"/>
      <c r="I129" s="21"/>
      <c r="J129" s="18"/>
      <c r="K129" s="24" t="str">
        <f>IFERROR(__xludf.DUMMYFUNCTION("IF(TO_TEXT(B129)=""TRUE"", C129,"""")"),"取得 CNS 62619 認證證書")</f>
        <v>取得 CNS 62619 認證證書</v>
      </c>
      <c r="L129" s="23" t="str">
        <f>IF(K130="","；","、")</f>
        <v>、</v>
      </c>
    </row>
    <row r="130" ht="18.75" customHeight="1">
      <c r="A130" s="19"/>
      <c r="B130" s="23" t="b">
        <f>IFERROR(__xludf.DUMMYFUNCTION("""COMPUTED_VALUE"""),TRUE)</f>
        <v>1</v>
      </c>
      <c r="C130" s="24" t="str">
        <f>IFERROR(__xludf.DUMMYFUNCTION("""COMPUTED_VALUE"""),"符合 IEC 60730 之測試報告")</f>
        <v>符合 IEC 60730 之測試報告</v>
      </c>
      <c r="D130" s="19"/>
      <c r="E130" s="19"/>
      <c r="F130" s="21"/>
      <c r="G130" s="21"/>
      <c r="H130" s="21"/>
      <c r="I130" s="21"/>
      <c r="J130" s="18"/>
      <c r="K130" s="24" t="str">
        <f>IFERROR(__xludf.DUMMYFUNCTION("IF(TO_TEXT(B130)=""TRUE"", C130,"""")"),"符合 IEC 60730 之測試報告")</f>
        <v>符合 IEC 60730 之測試報告</v>
      </c>
      <c r="L130" s="23" t="str">
        <f>IF(K130="","","；")</f>
        <v>；</v>
      </c>
    </row>
    <row r="131" ht="18.75" customHeight="1">
      <c r="A131" s="13" t="str">
        <f>IFERROR(__xludf.DUMMYFUNCTION("""COMPUTED_VALUE"""),"放電下限控制器定期檢修")</f>
        <v>放電下限控制器定期檢修</v>
      </c>
      <c r="B131" s="14" t="str">
        <f>IFERROR(__xludf.DUMMYFUNCTION("""COMPUTED_VALUE"""),"放電下限控制器二年檢修1次")</f>
        <v>放電下限控制器二年檢修1次</v>
      </c>
      <c r="C131" s="6"/>
      <c r="D131" s="15">
        <f>IFERROR(__xludf.DUMMYFUNCTION("""COMPUTED_VALUE"""),8.2)</f>
        <v>8.2</v>
      </c>
      <c r="E131" s="16">
        <f>IFERROR(__xludf.DUMMYFUNCTION("""COMPUTED_VALUE"""),0.3)</f>
        <v>0.3</v>
      </c>
      <c r="F131" s="21"/>
      <c r="G131" s="21"/>
      <c r="H131" s="21"/>
      <c r="I131" s="21"/>
      <c r="J131" s="18"/>
      <c r="K131" s="13" t="str">
        <f>B131</f>
        <v>放電下限控制器二年檢修1次</v>
      </c>
      <c r="L131" s="13"/>
    </row>
    <row r="132" ht="18.75" customHeight="1">
      <c r="A132" s="21"/>
      <c r="B132" s="27"/>
      <c r="C132" s="28"/>
      <c r="D132" s="21"/>
      <c r="E132" s="21"/>
      <c r="F132" s="21"/>
      <c r="G132" s="21"/>
      <c r="H132" s="21"/>
      <c r="I132" s="21"/>
      <c r="J132" s="18"/>
      <c r="K132" s="21"/>
      <c r="L132" s="21"/>
    </row>
    <row r="133" ht="18.75" customHeight="1">
      <c r="A133" s="19"/>
      <c r="B133" s="20"/>
      <c r="C133" s="12"/>
      <c r="D133" s="19"/>
      <c r="E133" s="19"/>
      <c r="F133" s="21"/>
      <c r="G133" s="21"/>
      <c r="H133" s="21"/>
      <c r="I133" s="21"/>
      <c r="J133" s="18"/>
      <c r="K133" s="19"/>
      <c r="L133" s="19"/>
    </row>
    <row r="134" ht="18.75" customHeight="1">
      <c r="A134" s="13" t="str">
        <f>IFERROR(__xludf.DUMMYFUNCTION("""COMPUTED_VALUE"""),"放電下限控制器有故障監視")</f>
        <v>放電下限控制器有故障監視</v>
      </c>
      <c r="B134" s="14" t="str">
        <f>IFERROR(__xludf.DUMMYFUNCTION("""COMPUTED_VALUE"""),"控制器具有故障監視功能")</f>
        <v>控制器具有故障監視功能</v>
      </c>
      <c r="C134" s="6"/>
      <c r="D134" s="15">
        <f>IFERROR(__xludf.DUMMYFUNCTION("""COMPUTED_VALUE"""),8.6)</f>
        <v>8.6</v>
      </c>
      <c r="E134" s="16">
        <f>IFERROR(__xludf.DUMMYFUNCTION("""COMPUTED_VALUE"""),0.3)</f>
        <v>0.3</v>
      </c>
      <c r="F134" s="21"/>
      <c r="G134" s="21"/>
      <c r="H134" s="21"/>
      <c r="I134" s="21"/>
      <c r="J134" s="18"/>
      <c r="K134" s="13" t="str">
        <f>B134</f>
        <v>控制器具有故障監視功能</v>
      </c>
      <c r="L134" s="13"/>
    </row>
    <row r="135" ht="18.75" customHeight="1">
      <c r="A135" s="19"/>
      <c r="B135" s="20"/>
      <c r="C135" s="12"/>
      <c r="D135" s="19"/>
      <c r="E135" s="19"/>
      <c r="F135" s="19"/>
      <c r="G135" s="19"/>
      <c r="H135" s="19"/>
      <c r="I135" s="19"/>
      <c r="J135" s="29"/>
      <c r="K135" s="19"/>
      <c r="L135" s="19"/>
    </row>
    <row r="136" ht="43.5" customHeight="1">
      <c r="A136" s="1" t="str">
        <f>IFERROR(__xludf.DUMMYFUNCTION("""COMPUTED_VALUE"""),"過放電保護設定不當 F1-d2-1(t)")</f>
        <v>過放電保護設定不當 F1-d2-1(t)</v>
      </c>
      <c r="B136" s="2"/>
      <c r="C136" s="2"/>
      <c r="D136" s="2"/>
      <c r="E136" s="2"/>
      <c r="F136" s="2"/>
      <c r="G136" s="2"/>
      <c r="H136" s="3"/>
      <c r="I136" s="3"/>
      <c r="J136" s="4"/>
      <c r="K136" s="5" t="str">
        <f>"「"&amp;A136&amp;"」的調查問項包括"&amp;A138&amp;"、"&amp;A140&amp;"、"&amp;A143&amp;"等3項。其中，「"&amp;A138&amp;"」方面，設定條件為"&amp;K138&amp;"；"&amp;"符合「"&amp;A140&amp;"」的條件，則為"&amp;K140&amp;L140&amp;K141&amp;L141&amp;"符合「"&amp;A143&amp;"」的條件為"&amp;K143&amp;"。將確證後計算加權分數後，可靠度概率為"&amp;H138&amp;"，"&amp;A136&amp;"的故障率為"&amp;I138&amp;"。"</f>
        <v>「過放電保護設定不當 F1-d2-1(t)」的調查問項包括符合規定的放電保護設定、放電保護異常移報訊號、放電保護作動的歷史紀錄等3項。其中，「符合規定的放電保護設定」方面，設定條件為經由第三方查核確認；符合「放電保護異常移報訊號」的條件，則為BMS通過Test Report - IEC 60730-1 - Annex H測試、符合「放電保護作動的歷史紀錄」的條件為歷史紀錄保存完整。將確證後計算加權分數後，可靠度概率為85.8%，過放電保護設定不當 F1-d2-1(t)的故障率為14.2%。</v>
      </c>
      <c r="L136" s="6"/>
    </row>
    <row r="137" ht="43.5" customHeight="1">
      <c r="A137" s="7" t="str">
        <f>IFERROR(__xludf.DUMMYFUNCTION("""COMPUTED_VALUE"""),"確保可靠度的手段")</f>
        <v>確保可靠度的手段</v>
      </c>
      <c r="B137" s="8" t="str">
        <f>IFERROR(__xludf.DUMMYFUNCTION("""COMPUTED_VALUE"""),"確證方式")</f>
        <v>確證方式</v>
      </c>
      <c r="C137" s="9"/>
      <c r="D137" s="7" t="str">
        <f>IFERROR(__xludf.DUMMYFUNCTION("""COMPUTED_VALUE"""),"得分")</f>
        <v>得分</v>
      </c>
      <c r="E137" s="7" t="str">
        <f>IFERROR(__xludf.DUMMYFUNCTION("""COMPUTED_VALUE"""),"權重")</f>
        <v>權重</v>
      </c>
      <c r="F137" s="7" t="str">
        <f>IFERROR(__xludf.DUMMYFUNCTION("""COMPUTED_VALUE"""),"可靠度概率")</f>
        <v>可靠度概率</v>
      </c>
      <c r="G137" s="7" t="str">
        <f>IFERROR(__xludf.DUMMYFUNCTION("""COMPUTED_VALUE"""),"F1-d2-1(t)")</f>
        <v>F1-d2-1(t)</v>
      </c>
      <c r="H137" s="7" t="s">
        <v>0</v>
      </c>
      <c r="I137" s="7" t="s">
        <v>16</v>
      </c>
      <c r="J137" s="10"/>
      <c r="K137" s="11"/>
      <c r="L137" s="12"/>
    </row>
    <row r="138" ht="18.75" customHeight="1">
      <c r="A138" s="13" t="str">
        <f>IFERROR(__xludf.DUMMYFUNCTION("""COMPUTED_VALUE"""),"符合規定的放電保護設定")</f>
        <v>符合規定的放電保護設定</v>
      </c>
      <c r="B138" s="14" t="str">
        <f>IFERROR(__xludf.DUMMYFUNCTION("""COMPUTED_VALUE"""),"經由第三方查核確認")</f>
        <v>經由第三方查核確認</v>
      </c>
      <c r="C138" s="6"/>
      <c r="D138" s="15">
        <f>IFERROR(__xludf.DUMMYFUNCTION("""COMPUTED_VALUE"""),8.4)</f>
        <v>8.4</v>
      </c>
      <c r="E138" s="16">
        <f>IFERROR(__xludf.DUMMYFUNCTION("""COMPUTED_VALUE"""),0.4)</f>
        <v>0.4</v>
      </c>
      <c r="F138" s="17">
        <f>IFERROR(__xludf.DUMMYFUNCTION("""COMPUTED_VALUE"""),0.858)</f>
        <v>0.858</v>
      </c>
      <c r="G138" s="17">
        <f>IFERROR(__xludf.DUMMYFUNCTION("""COMPUTED_VALUE"""),0.14200000000000002)</f>
        <v>0.142</v>
      </c>
      <c r="H138" s="17" t="str">
        <f t="shared" ref="H138:I138" si="15">TEXT(ROUND(F138,3),"0.0%")</f>
        <v>85.8%</v>
      </c>
      <c r="I138" s="17" t="str">
        <f t="shared" si="15"/>
        <v>14.2%</v>
      </c>
      <c r="J138" s="18"/>
      <c r="K138" s="13" t="str">
        <f>B138</f>
        <v>經由第三方查核確認</v>
      </c>
      <c r="L138" s="13"/>
    </row>
    <row r="139" ht="18.75" customHeight="1">
      <c r="A139" s="19"/>
      <c r="B139" s="20"/>
      <c r="C139" s="12"/>
      <c r="D139" s="19"/>
      <c r="E139" s="19"/>
      <c r="F139" s="21"/>
      <c r="G139" s="21"/>
      <c r="H139" s="21"/>
      <c r="I139" s="21"/>
      <c r="J139" s="18"/>
      <c r="K139" s="19"/>
      <c r="L139" s="19"/>
    </row>
    <row r="140" ht="18.75" customHeight="1">
      <c r="A140" s="22" t="str">
        <f>IFERROR(__xludf.DUMMYFUNCTION("""COMPUTED_VALUE"""),"放電保護異常移報訊號")</f>
        <v>放電保護異常移報訊號</v>
      </c>
      <c r="B140" s="23" t="b">
        <f>IFERROR(__xludf.DUMMYFUNCTION("""COMPUTED_VALUE"""),FALSE)</f>
        <v>0</v>
      </c>
      <c r="C140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40" s="25">
        <f>IFERROR(__xludf.DUMMYFUNCTION("""COMPUTED_VALUE"""),8.9)</f>
        <v>8.9</v>
      </c>
      <c r="E140" s="26">
        <f>IFERROR(__xludf.DUMMYFUNCTION("""COMPUTED_VALUE"""),0.3)</f>
        <v>0.3</v>
      </c>
      <c r="F140" s="21"/>
      <c r="G140" s="21"/>
      <c r="H140" s="21"/>
      <c r="I140" s="21"/>
      <c r="J140" s="18"/>
      <c r="K140" s="24" t="str">
        <f>IFERROR(__xludf.DUMMYFUNCTION("IF(TO_TEXT(B140)=""TRUE"", C140,"""")"),"")</f>
        <v/>
      </c>
      <c r="L140" s="23" t="str">
        <f>IF(K140="","", IF(K141="","；","、"))</f>
        <v/>
      </c>
    </row>
    <row r="141" ht="18.75" customHeight="1">
      <c r="A141" s="21"/>
      <c r="B141" s="23" t="b">
        <f>IFERROR(__xludf.DUMMYFUNCTION("""COMPUTED_VALUE"""),TRUE)</f>
        <v>1</v>
      </c>
      <c r="C141" s="24" t="str">
        <f>IFERROR(__xludf.DUMMYFUNCTION("""COMPUTED_VALUE"""),"BMS通過Test Report - IEC 60730-1 - Annex H測試")</f>
        <v>BMS通過Test Report - IEC 60730-1 - Annex H測試</v>
      </c>
      <c r="D141" s="21"/>
      <c r="E141" s="21"/>
      <c r="F141" s="21"/>
      <c r="G141" s="21"/>
      <c r="H141" s="21"/>
      <c r="I141" s="21"/>
      <c r="J141" s="18"/>
      <c r="K141" s="24" t="str">
        <f>IFERROR(__xludf.DUMMYFUNCTION("IF(TO_TEXT(B141)=""TRUE"", C141,"""")"),"BMS通過Test Report - IEC 60730-1 - Annex H測試")</f>
        <v>BMS通過Test Report - IEC 60730-1 - Annex H測試</v>
      </c>
      <c r="L141" s="23" t="str">
        <f>IF(K142="","；","、")</f>
        <v>、</v>
      </c>
    </row>
    <row r="142" ht="18.75" customHeight="1">
      <c r="A142" s="19"/>
      <c r="B142" s="23" t="b">
        <f>IFERROR(__xludf.DUMMYFUNCTION("""COMPUTED_VALUE"""),TRUE)</f>
        <v>1</v>
      </c>
      <c r="C142" s="24" t="str">
        <f>IFERROR(__xludf.DUMMYFUNCTION("""COMPUTED_VALUE"""),"異常訊號可同時通知現場及遠端管理人員")</f>
        <v>異常訊號可同時通知現場及遠端管理人員</v>
      </c>
      <c r="D142" s="19"/>
      <c r="E142" s="19"/>
      <c r="F142" s="21"/>
      <c r="G142" s="21"/>
      <c r="H142" s="21"/>
      <c r="I142" s="21"/>
      <c r="J142" s="18"/>
      <c r="K142" s="24" t="str">
        <f>IFERROR(__xludf.DUMMYFUNCTION("IF(TO_TEXT(B142)=""TRUE"", C142,"""")"),"異常訊號可同時通知現場及遠端管理人員")</f>
        <v>異常訊號可同時通知現場及遠端管理人員</v>
      </c>
      <c r="L142" s="23" t="str">
        <f>IF(K142="","","；")</f>
        <v>；</v>
      </c>
    </row>
    <row r="143" ht="18.75" customHeight="1">
      <c r="A143" s="13" t="str">
        <f>IFERROR(__xludf.DUMMYFUNCTION("""COMPUTED_VALUE"""),"放電保護作動的歷史紀錄")</f>
        <v>放電保護作動的歷史紀錄</v>
      </c>
      <c r="B143" s="14" t="str">
        <f>IFERROR(__xludf.DUMMYFUNCTION("""COMPUTED_VALUE"""),"歷史紀錄保存完整")</f>
        <v>歷史紀錄保存完整</v>
      </c>
      <c r="C143" s="6"/>
      <c r="D143" s="15">
        <f>IFERROR(__xludf.DUMMYFUNCTION("""COMPUTED_VALUE"""),8.5)</f>
        <v>8.5</v>
      </c>
      <c r="E143" s="16">
        <f>IFERROR(__xludf.DUMMYFUNCTION("""COMPUTED_VALUE"""),0.3)</f>
        <v>0.3</v>
      </c>
      <c r="F143" s="21"/>
      <c r="G143" s="21"/>
      <c r="H143" s="21"/>
      <c r="I143" s="21"/>
      <c r="J143" s="18"/>
      <c r="K143" s="13" t="str">
        <f>B143</f>
        <v>歷史紀錄保存完整</v>
      </c>
      <c r="L143" s="13"/>
    </row>
    <row r="144" ht="18.75" customHeight="1">
      <c r="A144" s="19"/>
      <c r="B144" s="20"/>
      <c r="C144" s="12"/>
      <c r="D144" s="19"/>
      <c r="E144" s="19"/>
      <c r="F144" s="19"/>
      <c r="G144" s="19"/>
      <c r="H144" s="19"/>
      <c r="I144" s="19"/>
      <c r="J144" s="18"/>
      <c r="K144" s="19"/>
      <c r="L144" s="19"/>
    </row>
    <row r="145" ht="48.75" customHeight="1">
      <c r="A145" s="1" t="str">
        <f>IFERROR(__xludf.DUMMYFUNCTION("""COMPUTED_VALUE"""),"過放電保護裝置故障 F1-d2-2(t)")</f>
        <v>過放電保護裝置故障 F1-d2-2(t)</v>
      </c>
      <c r="B145" s="2"/>
      <c r="C145" s="2"/>
      <c r="D145" s="2"/>
      <c r="E145" s="2"/>
      <c r="F145" s="2"/>
      <c r="G145" s="2"/>
      <c r="H145" s="3"/>
      <c r="I145" s="3"/>
      <c r="J145" s="4"/>
      <c r="K145" s="5" t="str">
        <f>"「"&amp;A145&amp;"」的調查問項包括"&amp;A147&amp;"、"&amp;A150&amp;"等2項。其中，「"&amp;A147&amp;"」方面，設定條件為"&amp;K147&amp;L147&amp;K148&amp;L148&amp;K149&amp;L149&amp;"符合「"&amp;A150&amp;"」的條件，則為"&amp;K150&amp;"。將確證後計算加權分數後，可靠度概率為"&amp;H147&amp;"，"&amp;A145&amp;"的故障率為"&amp;I147&amp;"。"</f>
        <v>「過放電保護裝置故障 F1-d2-2(t)」的調查問項包括過放電保護裝置通過認證、過放電保護裝置定期檢修等2項。其中，「過放電保護裝置通過認證」方面，設定條件為取得 UL 1973 認證證書、取得 CNS 62619 認證證書、符合 IEC 60730 之測試報告；符合「過放電保護裝置定期檢修」的條件，則為過放電保護裝置二年檢修1次。將確證後計算加權分數後，可靠度概率為88.0%，過放電保護裝置故障 F1-d2-2(t)的故障率為12.0%。</v>
      </c>
      <c r="L145" s="6"/>
    </row>
    <row r="146" ht="48.75" customHeight="1">
      <c r="A146" s="7" t="str">
        <f>IFERROR(__xludf.DUMMYFUNCTION("""COMPUTED_VALUE"""),"確保可靠度的手段")</f>
        <v>確保可靠度的手段</v>
      </c>
      <c r="B146" s="8" t="str">
        <f>IFERROR(__xludf.DUMMYFUNCTION("""COMPUTED_VALUE"""),"確證方式")</f>
        <v>確證方式</v>
      </c>
      <c r="C146" s="9"/>
      <c r="D146" s="7" t="str">
        <f>IFERROR(__xludf.DUMMYFUNCTION("""COMPUTED_VALUE"""),"得分")</f>
        <v>得分</v>
      </c>
      <c r="E146" s="7" t="str">
        <f>IFERROR(__xludf.DUMMYFUNCTION("""COMPUTED_VALUE"""),"權重")</f>
        <v>權重</v>
      </c>
      <c r="F146" s="7" t="str">
        <f>IFERROR(__xludf.DUMMYFUNCTION("""COMPUTED_VALUE"""),"可靠度
 概率")</f>
        <v>可靠度
 概率</v>
      </c>
      <c r="G146" s="7" t="str">
        <f>IFERROR(__xludf.DUMMYFUNCTION("""COMPUTED_VALUE"""),"F1-d2-2(t)")</f>
        <v>F1-d2-2(t)</v>
      </c>
      <c r="H146" s="7" t="s">
        <v>2</v>
      </c>
      <c r="I146" s="7" t="s">
        <v>17</v>
      </c>
      <c r="J146" s="10"/>
      <c r="K146" s="11"/>
      <c r="L146" s="12"/>
    </row>
    <row r="147" ht="18.75" customHeight="1">
      <c r="A147" s="22" t="str">
        <f>IFERROR(__xludf.DUMMYFUNCTION("""COMPUTED_VALUE"""),"過放電保護裝置通過認證")</f>
        <v>過放電保護裝置通過認證</v>
      </c>
      <c r="B147" s="23" t="b">
        <f>IFERROR(__xludf.DUMMYFUNCTION("""COMPUTED_VALUE"""),TRUE)</f>
        <v>1</v>
      </c>
      <c r="C147" s="24" t="str">
        <f>IFERROR(__xludf.DUMMYFUNCTION("""COMPUTED_VALUE"""),"取得 UL 1973 認證證書")</f>
        <v>取得 UL 1973 認證證書</v>
      </c>
      <c r="D147" s="25">
        <f>IFERROR(__xludf.DUMMYFUNCTION("""COMPUTED_VALUE"""),9.2)</f>
        <v>9.2</v>
      </c>
      <c r="E147" s="26">
        <f>IFERROR(__xludf.DUMMYFUNCTION("""COMPUTED_VALUE"""),0.6)</f>
        <v>0.6</v>
      </c>
      <c r="F147" s="17">
        <f>IFERROR(__xludf.DUMMYFUNCTION("""COMPUTED_VALUE"""),0.8799999999999999)</f>
        <v>0.88</v>
      </c>
      <c r="G147" s="17">
        <f>IFERROR(__xludf.DUMMYFUNCTION("""COMPUTED_VALUE"""),0.1200000000000001)</f>
        <v>0.12</v>
      </c>
      <c r="H147" s="17" t="str">
        <f t="shared" ref="H147:I147" si="16">TEXT(ROUND(F147,3),"0.0%")</f>
        <v>88.0%</v>
      </c>
      <c r="I147" s="17" t="str">
        <f t="shared" si="16"/>
        <v>12.0%</v>
      </c>
      <c r="J147" s="18"/>
      <c r="K147" s="24" t="str">
        <f>IFERROR(__xludf.DUMMYFUNCTION("IF(TO_TEXT(B147)=""TRUE"", C147,"""")"),"取得 UL 1973 認證證書")</f>
        <v>取得 UL 1973 認證證書</v>
      </c>
      <c r="L147" s="23" t="str">
        <f>IF(K147="","", IF(K148="","；","、"))</f>
        <v>、</v>
      </c>
    </row>
    <row r="148" ht="18.75" customHeight="1">
      <c r="A148" s="21"/>
      <c r="B148" s="23" t="b">
        <f>IFERROR(__xludf.DUMMYFUNCTION("""COMPUTED_VALUE"""),TRUE)</f>
        <v>1</v>
      </c>
      <c r="C148" s="24" t="str">
        <f>IFERROR(__xludf.DUMMYFUNCTION("""COMPUTED_VALUE"""),"取得 CNS 62619 認證證書")</f>
        <v>取得 CNS 62619 認證證書</v>
      </c>
      <c r="D148" s="21"/>
      <c r="E148" s="21"/>
      <c r="F148" s="21"/>
      <c r="G148" s="21"/>
      <c r="H148" s="21"/>
      <c r="I148" s="21"/>
      <c r="J148" s="18"/>
      <c r="K148" s="24" t="str">
        <f>IFERROR(__xludf.DUMMYFUNCTION("IF(TO_TEXT(B148)=""TRUE"", C148,"""")"),"取得 CNS 62619 認證證書")</f>
        <v>取得 CNS 62619 認證證書</v>
      </c>
      <c r="L148" s="23" t="str">
        <f>IF(K149="","；","、")</f>
        <v>、</v>
      </c>
    </row>
    <row r="149" ht="18.75" customHeight="1">
      <c r="A149" s="19"/>
      <c r="B149" s="23" t="b">
        <f>IFERROR(__xludf.DUMMYFUNCTION("""COMPUTED_VALUE"""),TRUE)</f>
        <v>1</v>
      </c>
      <c r="C149" s="24" t="str">
        <f>IFERROR(__xludf.DUMMYFUNCTION("""COMPUTED_VALUE"""),"符合 IEC 60730 之測試報告")</f>
        <v>符合 IEC 60730 之測試報告</v>
      </c>
      <c r="D149" s="19"/>
      <c r="E149" s="19"/>
      <c r="F149" s="21"/>
      <c r="G149" s="21"/>
      <c r="H149" s="21"/>
      <c r="I149" s="21"/>
      <c r="J149" s="18"/>
      <c r="K149" s="24" t="str">
        <f>IFERROR(__xludf.DUMMYFUNCTION("IF(TO_TEXT(B149)=""TRUE"", C149,"""")"),"符合 IEC 60730 之測試報告")</f>
        <v>符合 IEC 60730 之測試報告</v>
      </c>
      <c r="L149" s="23" t="str">
        <f>IF(K149="","","；")</f>
        <v>；</v>
      </c>
    </row>
    <row r="150" ht="18.75" customHeight="1">
      <c r="A150" s="13" t="str">
        <f>IFERROR(__xludf.DUMMYFUNCTION("""COMPUTED_VALUE"""),"過放電保護裝置定期檢修")</f>
        <v>過放電保護裝置定期檢修</v>
      </c>
      <c r="B150" s="14" t="str">
        <f>IFERROR(__xludf.DUMMYFUNCTION("""COMPUTED_VALUE"""),"過放電保護裝置二年檢修1次")</f>
        <v>過放電保護裝置二年檢修1次</v>
      </c>
      <c r="C150" s="6"/>
      <c r="D150" s="15">
        <f>IFERROR(__xludf.DUMMYFUNCTION("""COMPUTED_VALUE"""),8.2)</f>
        <v>8.2</v>
      </c>
      <c r="E150" s="16">
        <f>IFERROR(__xludf.DUMMYFUNCTION("""COMPUTED_VALUE"""),0.4)</f>
        <v>0.4</v>
      </c>
      <c r="F150" s="21"/>
      <c r="G150" s="21"/>
      <c r="H150" s="21"/>
      <c r="I150" s="21"/>
      <c r="J150" s="18"/>
      <c r="K150" s="13" t="str">
        <f>B150</f>
        <v>過放電保護裝置二年檢修1次</v>
      </c>
      <c r="L150" s="13"/>
    </row>
    <row r="151" ht="18.75" customHeight="1">
      <c r="A151" s="21"/>
      <c r="B151" s="27"/>
      <c r="C151" s="28"/>
      <c r="D151" s="21"/>
      <c r="E151" s="21"/>
      <c r="F151" s="21"/>
      <c r="G151" s="21"/>
      <c r="H151" s="21"/>
      <c r="I151" s="21"/>
      <c r="J151" s="18"/>
      <c r="K151" s="21"/>
      <c r="L151" s="21"/>
    </row>
    <row r="152" ht="18.75" customHeight="1">
      <c r="A152" s="19"/>
      <c r="B152" s="20"/>
      <c r="C152" s="12"/>
      <c r="D152" s="19"/>
      <c r="E152" s="19"/>
      <c r="F152" s="19"/>
      <c r="G152" s="19"/>
      <c r="H152" s="19"/>
      <c r="I152" s="19"/>
      <c r="J152" s="18"/>
      <c r="K152" s="19"/>
      <c r="L152" s="19"/>
    </row>
    <row r="153" ht="45.75" customHeight="1">
      <c r="A153" s="1" t="str">
        <f>IFERROR(__xludf.DUMMYFUNCTION("""COMPUTED_VALUE"""),"溫度上限設定不當 F1-e1(t)")</f>
        <v>溫度上限設定不當 F1-e1(t)</v>
      </c>
      <c r="B153" s="2"/>
      <c r="C153" s="2"/>
      <c r="D153" s="2"/>
      <c r="E153" s="2"/>
      <c r="F153" s="2"/>
      <c r="G153" s="2"/>
      <c r="H153" s="3"/>
      <c r="I153" s="3"/>
      <c r="J153" s="4"/>
      <c r="K153" s="5" t="str">
        <f>"「"&amp;A153&amp;"」的調查問項包括"&amp;A155&amp;"、"&amp;A157&amp;"、"&amp;A160&amp;"等3項。其中，「"&amp;A155&amp;"」方面，設定條件為"&amp;K155&amp;"；"&amp;"符合「"&amp;A157&amp;"」的條件，則為"&amp;K157&amp;L157&amp;K158&amp;L158&amp;"符合「"&amp;A160&amp;"」的條件為"&amp;K160&amp;"。將確證後計算加權分數後，可靠度概率為"&amp;H155&amp;"，"&amp;A153&amp;"的故障率為"&amp;I155&amp;"。"</f>
        <v>「溫度上限設定不當 F1-e1(t)」的調查問項包括符合規定的溫度上限設定、溫度上限異常移報訊號、溫度上限的歷史紀錄等3項。其中，「符合規定的溫度上限設定」方面，設定條件為經由第三方查核確認；符合「溫度上限異常移報訊號」的條件，則為BMS通過Test Report - IEC 60730-1 - Annex H測試、符合「溫度上限的歷史紀錄」的條件為歷史紀錄保存完整。將確證後計算加權分數後，可靠度概率為87.5%，溫度上限設定不當 F1-e1(t)的故障率為12.5%。</v>
      </c>
      <c r="L153" s="6"/>
    </row>
    <row r="154" ht="45.75" customHeight="1">
      <c r="A154" s="7" t="str">
        <f>IFERROR(__xludf.DUMMYFUNCTION("""COMPUTED_VALUE"""),"確保可靠度的手段")</f>
        <v>確保可靠度的手段</v>
      </c>
      <c r="B154" s="8" t="str">
        <f>IFERROR(__xludf.DUMMYFUNCTION("""COMPUTED_VALUE"""),"確證方式")</f>
        <v>確證方式</v>
      </c>
      <c r="C154" s="9"/>
      <c r="D154" s="7" t="str">
        <f>IFERROR(__xludf.DUMMYFUNCTION("""COMPUTED_VALUE"""),"得分")</f>
        <v>得分</v>
      </c>
      <c r="E154" s="7" t="str">
        <f>IFERROR(__xludf.DUMMYFUNCTION("""COMPUTED_VALUE"""),"權重")</f>
        <v>權重</v>
      </c>
      <c r="F154" s="7" t="str">
        <f>IFERROR(__xludf.DUMMYFUNCTION("""COMPUTED_VALUE"""),"可靠度概率")</f>
        <v>可靠度概率</v>
      </c>
      <c r="G154" s="7" t="str">
        <f>IFERROR(__xludf.DUMMYFUNCTION("""COMPUTED_VALUE"""),"F1-e1(t)")</f>
        <v>F1-e1(t)</v>
      </c>
      <c r="H154" s="7" t="s">
        <v>0</v>
      </c>
      <c r="I154" s="7" t="s">
        <v>18</v>
      </c>
      <c r="J154" s="10"/>
      <c r="K154" s="11"/>
      <c r="L154" s="12"/>
    </row>
    <row r="155" ht="18.75" customHeight="1">
      <c r="A155" s="13" t="str">
        <f>IFERROR(__xludf.DUMMYFUNCTION("""COMPUTED_VALUE"""),"符合規定的溫度上限設定")</f>
        <v>符合規定的溫度上限設定</v>
      </c>
      <c r="B155" s="14" t="str">
        <f>IFERROR(__xludf.DUMMYFUNCTION("""COMPUTED_VALUE"""),"經由第三方查核確認")</f>
        <v>經由第三方查核確認</v>
      </c>
      <c r="C155" s="6"/>
      <c r="D155" s="15">
        <f>IFERROR(__xludf.DUMMYFUNCTION("""COMPUTED_VALUE"""),8.6)</f>
        <v>8.6</v>
      </c>
      <c r="E155" s="16">
        <f>IFERROR(__xludf.DUMMYFUNCTION("""COMPUTED_VALUE"""),0.4)</f>
        <v>0.4</v>
      </c>
      <c r="F155" s="17">
        <f>IFERROR(__xludf.DUMMYFUNCTION("""COMPUTED_VALUE"""),0.875)</f>
        <v>0.875</v>
      </c>
      <c r="G155" s="17">
        <f>IFERROR(__xludf.DUMMYFUNCTION("""COMPUTED_VALUE"""),0.125)</f>
        <v>0.125</v>
      </c>
      <c r="H155" s="17" t="str">
        <f t="shared" ref="H155:I155" si="17">TEXT(ROUND(F155,3),"0.0%")</f>
        <v>87.5%</v>
      </c>
      <c r="I155" s="17" t="str">
        <f t="shared" si="17"/>
        <v>12.5%</v>
      </c>
      <c r="J155" s="18"/>
      <c r="K155" s="13" t="str">
        <f>B155</f>
        <v>經由第三方查核確認</v>
      </c>
      <c r="L155" s="13"/>
    </row>
    <row r="156" ht="18.75" customHeight="1">
      <c r="A156" s="19"/>
      <c r="B156" s="20"/>
      <c r="C156" s="12"/>
      <c r="D156" s="19"/>
      <c r="E156" s="19"/>
      <c r="F156" s="21"/>
      <c r="G156" s="21"/>
      <c r="H156" s="21"/>
      <c r="I156" s="21"/>
      <c r="J156" s="18"/>
      <c r="K156" s="19"/>
      <c r="L156" s="19"/>
    </row>
    <row r="157" ht="18.75" customHeight="1">
      <c r="A157" s="22" t="str">
        <f>IFERROR(__xludf.DUMMYFUNCTION("""COMPUTED_VALUE"""),"溫度上限異常移報訊號")</f>
        <v>溫度上限異常移報訊號</v>
      </c>
      <c r="B157" s="23" t="b">
        <f>IFERROR(__xludf.DUMMYFUNCTION("""COMPUTED_VALUE"""),FALSE)</f>
        <v>0</v>
      </c>
      <c r="C157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57" s="25">
        <f>IFERROR(__xludf.DUMMYFUNCTION("""COMPUTED_VALUE"""),9.0)</f>
        <v>9</v>
      </c>
      <c r="E157" s="26">
        <f>IFERROR(__xludf.DUMMYFUNCTION("""COMPUTED_VALUE"""),0.3)</f>
        <v>0.3</v>
      </c>
      <c r="F157" s="21"/>
      <c r="G157" s="21"/>
      <c r="H157" s="21"/>
      <c r="I157" s="21"/>
      <c r="J157" s="18"/>
      <c r="K157" s="24" t="str">
        <f>IFERROR(__xludf.DUMMYFUNCTION("IF(TO_TEXT(B157)=""TRUE"", C157,"""")"),"")</f>
        <v/>
      </c>
      <c r="L157" s="23" t="str">
        <f>IF(K157="","", IF(K158="","；","、"))</f>
        <v/>
      </c>
    </row>
    <row r="158" ht="18.75" customHeight="1">
      <c r="A158" s="21"/>
      <c r="B158" s="23" t="b">
        <f>IFERROR(__xludf.DUMMYFUNCTION("""COMPUTED_VALUE"""),TRUE)</f>
        <v>1</v>
      </c>
      <c r="C158" s="24" t="str">
        <f>IFERROR(__xludf.DUMMYFUNCTION("""COMPUTED_VALUE"""),"BMS通過Test Report - IEC 60730-1 - Annex H測試")</f>
        <v>BMS通過Test Report - IEC 60730-1 - Annex H測試</v>
      </c>
      <c r="D158" s="21"/>
      <c r="E158" s="21"/>
      <c r="F158" s="21"/>
      <c r="G158" s="21"/>
      <c r="H158" s="21"/>
      <c r="I158" s="21"/>
      <c r="J158" s="18"/>
      <c r="K158" s="24" t="str">
        <f>IFERROR(__xludf.DUMMYFUNCTION("IF(TO_TEXT(B158)=""TRUE"", C158,"""")"),"BMS通過Test Report - IEC 60730-1 - Annex H測試")</f>
        <v>BMS通過Test Report - IEC 60730-1 - Annex H測試</v>
      </c>
      <c r="L158" s="23" t="str">
        <f>IF(K159="","；","、")</f>
        <v>、</v>
      </c>
    </row>
    <row r="159" ht="18.75" customHeight="1">
      <c r="A159" s="19"/>
      <c r="B159" s="23" t="b">
        <f>IFERROR(__xludf.DUMMYFUNCTION("""COMPUTED_VALUE"""),TRUE)</f>
        <v>1</v>
      </c>
      <c r="C159" s="24" t="str">
        <f>IFERROR(__xludf.DUMMYFUNCTION("""COMPUTED_VALUE"""),"異常訊號可同時通知現場及遠端管理人員")</f>
        <v>異常訊號可同時通知現場及遠端管理人員</v>
      </c>
      <c r="D159" s="19"/>
      <c r="E159" s="19"/>
      <c r="F159" s="21"/>
      <c r="G159" s="21"/>
      <c r="H159" s="21"/>
      <c r="I159" s="21"/>
      <c r="J159" s="18"/>
      <c r="K159" s="24" t="str">
        <f>IFERROR(__xludf.DUMMYFUNCTION("IF(TO_TEXT(B159)=""TRUE"", C159,"""")"),"異常訊號可同時通知現場及遠端管理人員")</f>
        <v>異常訊號可同時通知現場及遠端管理人員</v>
      </c>
      <c r="L159" s="23" t="str">
        <f>IF(K159="","","；")</f>
        <v>；</v>
      </c>
    </row>
    <row r="160" ht="18.75" customHeight="1">
      <c r="A160" s="13" t="str">
        <f>IFERROR(__xludf.DUMMYFUNCTION("""COMPUTED_VALUE"""),"溫度上限的歷史紀錄")</f>
        <v>溫度上限的歷史紀錄</v>
      </c>
      <c r="B160" s="14" t="str">
        <f>IFERROR(__xludf.DUMMYFUNCTION("""COMPUTED_VALUE"""),"歷史紀錄保存完整")</f>
        <v>歷史紀錄保存完整</v>
      </c>
      <c r="C160" s="6"/>
      <c r="D160" s="15">
        <f>IFERROR(__xludf.DUMMYFUNCTION("""COMPUTED_VALUE"""),8.7)</f>
        <v>8.7</v>
      </c>
      <c r="E160" s="16">
        <f>IFERROR(__xludf.DUMMYFUNCTION("""COMPUTED_VALUE"""),0.3)</f>
        <v>0.3</v>
      </c>
      <c r="F160" s="21"/>
      <c r="G160" s="21"/>
      <c r="H160" s="21"/>
      <c r="I160" s="21"/>
      <c r="J160" s="18"/>
      <c r="K160" s="13" t="str">
        <f>B160</f>
        <v>歷史紀錄保存完整</v>
      </c>
      <c r="L160" s="13"/>
    </row>
    <row r="161" ht="18.75" customHeight="1">
      <c r="A161" s="19"/>
      <c r="B161" s="20"/>
      <c r="C161" s="12"/>
      <c r="D161" s="19"/>
      <c r="E161" s="19"/>
      <c r="F161" s="19"/>
      <c r="G161" s="19"/>
      <c r="H161" s="19"/>
      <c r="I161" s="19"/>
      <c r="J161" s="18"/>
      <c r="K161" s="19"/>
      <c r="L161" s="19"/>
    </row>
    <row r="162" ht="39.75" customHeight="1">
      <c r="A162" s="1" t="str">
        <f>IFERROR(__xludf.DUMMYFUNCTION("""COMPUTED_VALUE"""),"過溫保護裝置故障 F1-e2(t)")</f>
        <v>過溫保護裝置故障 F1-e2(t)</v>
      </c>
      <c r="B162" s="2"/>
      <c r="C162" s="2"/>
      <c r="D162" s="2"/>
      <c r="E162" s="2"/>
      <c r="F162" s="2"/>
      <c r="G162" s="2"/>
      <c r="H162" s="3"/>
      <c r="I162" s="3"/>
      <c r="J162" s="4"/>
      <c r="K162" s="5" t="str">
        <f>"「"&amp;A162&amp;"」的調查問項包括"&amp;A164&amp;"、"&amp;A167&amp;"等2項。其中，「"&amp;A164&amp;"」方面，設定條件為"&amp;K164&amp;L164&amp;K165&amp;L165&amp;K166&amp;L166&amp;"符合「"&amp;A167&amp;"」的條件，則為"&amp;K167&amp;"。將確證後計算加權分數後，可靠度概率為"&amp;H164&amp;"，"&amp;A162&amp;"的故障率為"&amp;I164&amp;"。"</f>
        <v>「過溫保護裝置故障 F1-e2(t)」的調查問項包括過溫保護裝置通過認證、過溫保護裝置定期檢修等2項。其中，「過溫保護裝置通過認證」方面，設定條件為取得 UL 1973 認證證書、取得 CNS 62619 認證證書、符合 IEC 60730 之測試報告；符合「過溫保護裝置定期檢修」的條件，則為過溫保護裝置二年檢修1次。將確證後計算加權分數後，可靠度概率為89.6%，過溫保護裝置故障 F1-e2(t)的故障率為10.4%。</v>
      </c>
      <c r="L162" s="6"/>
    </row>
    <row r="163" ht="39.75" customHeight="1">
      <c r="A163" s="7" t="str">
        <f>IFERROR(__xludf.DUMMYFUNCTION("""COMPUTED_VALUE"""),"確保可靠度的手段")</f>
        <v>確保可靠度的手段</v>
      </c>
      <c r="B163" s="8" t="str">
        <f>IFERROR(__xludf.DUMMYFUNCTION("""COMPUTED_VALUE"""),"確證方式")</f>
        <v>確證方式</v>
      </c>
      <c r="C163" s="9"/>
      <c r="D163" s="7" t="str">
        <f>IFERROR(__xludf.DUMMYFUNCTION("""COMPUTED_VALUE"""),"得分")</f>
        <v>得分</v>
      </c>
      <c r="E163" s="7" t="str">
        <f>IFERROR(__xludf.DUMMYFUNCTION("""COMPUTED_VALUE"""),"權重")</f>
        <v>權重</v>
      </c>
      <c r="F163" s="7" t="str">
        <f>IFERROR(__xludf.DUMMYFUNCTION("""COMPUTED_VALUE"""),"可靠度
 概率")</f>
        <v>可靠度
 概率</v>
      </c>
      <c r="G163" s="7" t="str">
        <f>IFERROR(__xludf.DUMMYFUNCTION("""COMPUTED_VALUE"""),"F1-e2(t)")</f>
        <v>F1-e2(t)</v>
      </c>
      <c r="H163" s="7" t="s">
        <v>2</v>
      </c>
      <c r="I163" s="7" t="s">
        <v>19</v>
      </c>
      <c r="J163" s="10"/>
      <c r="K163" s="11"/>
      <c r="L163" s="12"/>
    </row>
    <row r="164" ht="18.75" customHeight="1">
      <c r="A164" s="22" t="str">
        <f>IFERROR(__xludf.DUMMYFUNCTION("""COMPUTED_VALUE"""),"過溫保護裝置通過認證")</f>
        <v>過溫保護裝置通過認證</v>
      </c>
      <c r="B164" s="23" t="b">
        <f>IFERROR(__xludf.DUMMYFUNCTION("""COMPUTED_VALUE"""),TRUE)</f>
        <v>1</v>
      </c>
      <c r="C164" s="24" t="str">
        <f>IFERROR(__xludf.DUMMYFUNCTION("""COMPUTED_VALUE"""),"取得 UL 1973 認證證書")</f>
        <v>取得 UL 1973 認證證書</v>
      </c>
      <c r="D164" s="25">
        <f>IFERROR(__xludf.DUMMYFUNCTION("""COMPUTED_VALUE"""),9.2)</f>
        <v>9.2</v>
      </c>
      <c r="E164" s="26">
        <f>IFERROR(__xludf.DUMMYFUNCTION("""COMPUTED_VALUE"""),0.6)</f>
        <v>0.6</v>
      </c>
      <c r="F164" s="17">
        <f>IFERROR(__xludf.DUMMYFUNCTION("""COMPUTED_VALUE"""),0.8959999999999999)</f>
        <v>0.896</v>
      </c>
      <c r="G164" s="17">
        <f>IFERROR(__xludf.DUMMYFUNCTION("""COMPUTED_VALUE"""),0.10400000000000009)</f>
        <v>0.104</v>
      </c>
      <c r="H164" s="17" t="str">
        <f t="shared" ref="H164:I164" si="18">TEXT(ROUND(F164,3),"0.0%")</f>
        <v>89.6%</v>
      </c>
      <c r="I164" s="17" t="str">
        <f t="shared" si="18"/>
        <v>10.4%</v>
      </c>
      <c r="J164" s="18"/>
      <c r="K164" s="24" t="str">
        <f>IFERROR(__xludf.DUMMYFUNCTION("IF(TO_TEXT(B164)=""TRUE"", C164,"""")"),"取得 UL 1973 認證證書")</f>
        <v>取得 UL 1973 認證證書</v>
      </c>
      <c r="L164" s="23" t="str">
        <f>IF(K164="","", IF(K165="","；","、"))</f>
        <v>、</v>
      </c>
    </row>
    <row r="165" ht="18.75" customHeight="1">
      <c r="A165" s="21"/>
      <c r="B165" s="23" t="b">
        <f>IFERROR(__xludf.DUMMYFUNCTION("""COMPUTED_VALUE"""),TRUE)</f>
        <v>1</v>
      </c>
      <c r="C165" s="24" t="str">
        <f>IFERROR(__xludf.DUMMYFUNCTION("""COMPUTED_VALUE"""),"取得 CNS 62619 認證證書")</f>
        <v>取得 CNS 62619 認證證書</v>
      </c>
      <c r="D165" s="21"/>
      <c r="E165" s="21"/>
      <c r="F165" s="21"/>
      <c r="G165" s="21"/>
      <c r="H165" s="21"/>
      <c r="I165" s="21"/>
      <c r="J165" s="18"/>
      <c r="K165" s="24" t="str">
        <f>IFERROR(__xludf.DUMMYFUNCTION("IF(TO_TEXT(B165)=""TRUE"", C165,"""")"),"取得 CNS 62619 認證證書")</f>
        <v>取得 CNS 62619 認證證書</v>
      </c>
      <c r="L165" s="23" t="str">
        <f>IF(K166="","；","、")</f>
        <v>、</v>
      </c>
    </row>
    <row r="166" ht="18.75" customHeight="1">
      <c r="A166" s="19"/>
      <c r="B166" s="23" t="b">
        <f>IFERROR(__xludf.DUMMYFUNCTION("""COMPUTED_VALUE"""),TRUE)</f>
        <v>1</v>
      </c>
      <c r="C166" s="24" t="str">
        <f>IFERROR(__xludf.DUMMYFUNCTION("""COMPUTED_VALUE"""),"符合 IEC 60730 之測試報告")</f>
        <v>符合 IEC 60730 之測試報告</v>
      </c>
      <c r="D166" s="19"/>
      <c r="E166" s="19"/>
      <c r="F166" s="21"/>
      <c r="G166" s="21"/>
      <c r="H166" s="21"/>
      <c r="I166" s="21"/>
      <c r="J166" s="18"/>
      <c r="K166" s="24" t="str">
        <f>IFERROR(__xludf.DUMMYFUNCTION("IF(TO_TEXT(B166)=""TRUE"", C166,"""")"),"符合 IEC 60730 之測試報告")</f>
        <v>符合 IEC 60730 之測試報告</v>
      </c>
      <c r="L166" s="23" t="str">
        <f>IF(K166="","","；")</f>
        <v>；</v>
      </c>
    </row>
    <row r="167" ht="18.75" customHeight="1">
      <c r="A167" s="13" t="str">
        <f>IFERROR(__xludf.DUMMYFUNCTION("""COMPUTED_VALUE"""),"過溫保護裝置定期檢修")</f>
        <v>過溫保護裝置定期檢修</v>
      </c>
      <c r="B167" s="14" t="str">
        <f>IFERROR(__xludf.DUMMYFUNCTION("""COMPUTED_VALUE"""),"過溫保護裝置二年檢修1次")</f>
        <v>過溫保護裝置二年檢修1次</v>
      </c>
      <c r="C167" s="6"/>
      <c r="D167" s="15">
        <f>IFERROR(__xludf.DUMMYFUNCTION("""COMPUTED_VALUE"""),8.6)</f>
        <v>8.6</v>
      </c>
      <c r="E167" s="16">
        <f>IFERROR(__xludf.DUMMYFUNCTION("""COMPUTED_VALUE"""),0.4)</f>
        <v>0.4</v>
      </c>
      <c r="F167" s="21"/>
      <c r="G167" s="21"/>
      <c r="H167" s="21"/>
      <c r="I167" s="21"/>
      <c r="J167" s="18"/>
      <c r="K167" s="13" t="str">
        <f>B167</f>
        <v>過溫保護裝置二年檢修1次</v>
      </c>
      <c r="L167" s="13"/>
    </row>
    <row r="168" ht="18.75" customHeight="1">
      <c r="A168" s="21"/>
      <c r="B168" s="27"/>
      <c r="C168" s="28"/>
      <c r="D168" s="21"/>
      <c r="E168" s="21"/>
      <c r="F168" s="21"/>
      <c r="G168" s="21"/>
      <c r="H168" s="21"/>
      <c r="I168" s="21"/>
      <c r="J168" s="18"/>
      <c r="K168" s="21"/>
      <c r="L168" s="21"/>
    </row>
    <row r="169" ht="18.75" customHeight="1">
      <c r="A169" s="19"/>
      <c r="B169" s="20"/>
      <c r="C169" s="12"/>
      <c r="D169" s="19"/>
      <c r="E169" s="19"/>
      <c r="F169" s="19"/>
      <c r="G169" s="19"/>
      <c r="H169" s="19"/>
      <c r="I169" s="19"/>
      <c r="J169" s="18"/>
      <c r="K169" s="19"/>
      <c r="L169" s="19"/>
    </row>
    <row r="170" ht="45.0" customHeight="1">
      <c r="A170" s="1" t="str">
        <f>IFERROR(__xludf.DUMMYFUNCTION("""COMPUTED_VALUE"""),"電芯內部電阻異常 F2-a1(t)")</f>
        <v>電芯內部電阻異常 F2-a1(t)</v>
      </c>
      <c r="B170" s="2"/>
      <c r="C170" s="2"/>
      <c r="D170" s="2"/>
      <c r="E170" s="2"/>
      <c r="F170" s="2"/>
      <c r="G170" s="2"/>
      <c r="H170" s="3"/>
      <c r="I170" s="3"/>
      <c r="J170" s="4"/>
      <c r="K170" s="5" t="str">
        <f>"「"&amp;A170&amp;"」的調查問項包括"&amp;A172&amp;"、"&amp;A175&amp;"等2項。其中，「"&amp;A172&amp;"」方面，設定條件為"&amp;K172&amp;L172&amp;K173&amp;L173&amp;K174&amp;L174&amp;"符合「"&amp;A175&amp;"」的條件，則為"&amp;K175&amp;"。將確證後計算加權分數後，可靠度概率為"&amp;H172&amp;"，"&amp;A170&amp;"的故障率為"&amp;I172&amp;"。"</f>
        <v>「電芯內部電阻異常 F2-a1(t)」的調查問項包括電芯通過國際認證、電芯依使用週期進行汰換等2項。其中，「電芯通過國際認證」方面，設定條件為取得 UL 1973 認證證書、取得 CNS 62619 認證證書；符合「電芯依使用週期進行汰換」的條件，則為電芯依原廠建議值進行汰換。將確證後計算加權分數後，可靠度概率為88.4%，電芯內部電阻異常 F2-a1(t)的故障率為11.6%。</v>
      </c>
      <c r="L170" s="6"/>
    </row>
    <row r="171" ht="45.0" customHeight="1">
      <c r="A171" s="7" t="str">
        <f>IFERROR(__xludf.DUMMYFUNCTION("""COMPUTED_VALUE"""),"確保可靠度的手段")</f>
        <v>確保可靠度的手段</v>
      </c>
      <c r="B171" s="8" t="str">
        <f>IFERROR(__xludf.DUMMYFUNCTION("""COMPUTED_VALUE"""),"確證方式")</f>
        <v>確證方式</v>
      </c>
      <c r="C171" s="9"/>
      <c r="D171" s="7" t="str">
        <f>IFERROR(__xludf.DUMMYFUNCTION("""COMPUTED_VALUE"""),"得分")</f>
        <v>得分</v>
      </c>
      <c r="E171" s="7" t="str">
        <f>IFERROR(__xludf.DUMMYFUNCTION("""COMPUTED_VALUE"""),"權重")</f>
        <v>權重</v>
      </c>
      <c r="F171" s="7" t="str">
        <f>IFERROR(__xludf.DUMMYFUNCTION("""COMPUTED_VALUE"""),"可靠度
 概率")</f>
        <v>可靠度
 概率</v>
      </c>
      <c r="G171" s="7" t="str">
        <f>IFERROR(__xludf.DUMMYFUNCTION("""COMPUTED_VALUE"""),"F2-a1(t)")</f>
        <v>F2-a1(t)</v>
      </c>
      <c r="H171" s="7" t="s">
        <v>2</v>
      </c>
      <c r="I171" s="7" t="s">
        <v>20</v>
      </c>
      <c r="J171" s="10"/>
      <c r="K171" s="11"/>
      <c r="L171" s="12"/>
    </row>
    <row r="172" ht="18.75" customHeight="1">
      <c r="A172" s="22" t="str">
        <f>IFERROR(__xludf.DUMMYFUNCTION("""COMPUTED_VALUE"""),"電芯通過國際認證")</f>
        <v>電芯通過國際認證</v>
      </c>
      <c r="B172" s="23" t="b">
        <f>IFERROR(__xludf.DUMMYFUNCTION("""COMPUTED_VALUE"""),FALSE)</f>
        <v>0</v>
      </c>
      <c r="C172" s="24" t="str">
        <f>IFERROR(__xludf.DUMMYFUNCTION("""COMPUTED_VALUE"""),"取得 UL 1642 認證證書")</f>
        <v>取得 UL 1642 認證證書</v>
      </c>
      <c r="D172" s="25">
        <f>IFERROR(__xludf.DUMMYFUNCTION("""COMPUTED_VALUE"""),9.0)</f>
        <v>9</v>
      </c>
      <c r="E172" s="26">
        <f>IFERROR(__xludf.DUMMYFUNCTION("""COMPUTED_VALUE"""),0.6)</f>
        <v>0.6</v>
      </c>
      <c r="F172" s="17">
        <f>IFERROR(__xludf.DUMMYFUNCTION("""COMPUTED_VALUE"""),0.884)</f>
        <v>0.884</v>
      </c>
      <c r="G172" s="17">
        <f>IFERROR(__xludf.DUMMYFUNCTION("""COMPUTED_VALUE"""),0.11599999999999999)</f>
        <v>0.116</v>
      </c>
      <c r="H172" s="17" t="str">
        <f t="shared" ref="H172:I172" si="19">TEXT(ROUND(F172,3),"0.0%")</f>
        <v>88.4%</v>
      </c>
      <c r="I172" s="17" t="str">
        <f t="shared" si="19"/>
        <v>11.6%</v>
      </c>
      <c r="J172" s="18"/>
      <c r="K172" s="24" t="str">
        <f>IFERROR(__xludf.DUMMYFUNCTION("IF(TO_TEXT(B172)=""TRUE"", C172,"""")"),"")</f>
        <v/>
      </c>
      <c r="L172" s="23" t="str">
        <f>IF(K172="","", IF(K173="","；","、"))</f>
        <v/>
      </c>
    </row>
    <row r="173" ht="18.75" customHeight="1">
      <c r="A173" s="21"/>
      <c r="B173" s="23" t="b">
        <f>IFERROR(__xludf.DUMMYFUNCTION("""COMPUTED_VALUE"""),TRUE)</f>
        <v>1</v>
      </c>
      <c r="C173" s="24" t="str">
        <f>IFERROR(__xludf.DUMMYFUNCTION("""COMPUTED_VALUE"""),"取得 UL 1973 認證證書")</f>
        <v>取得 UL 1973 認證證書</v>
      </c>
      <c r="D173" s="21"/>
      <c r="E173" s="21"/>
      <c r="F173" s="21"/>
      <c r="G173" s="21"/>
      <c r="H173" s="21"/>
      <c r="I173" s="21"/>
      <c r="J173" s="18"/>
      <c r="K173" s="24" t="str">
        <f>IFERROR(__xludf.DUMMYFUNCTION("IF(TO_TEXT(B173)=""TRUE"", C173,"""")"),"取得 UL 1973 認證證書")</f>
        <v>取得 UL 1973 認證證書</v>
      </c>
      <c r="L173" s="23" t="str">
        <f>IF(K174="","；","、")</f>
        <v>、</v>
      </c>
    </row>
    <row r="174" ht="18.75" customHeight="1">
      <c r="A174" s="19"/>
      <c r="B174" s="23" t="b">
        <f>IFERROR(__xludf.DUMMYFUNCTION("""COMPUTED_VALUE"""),TRUE)</f>
        <v>1</v>
      </c>
      <c r="C174" s="24" t="str">
        <f>IFERROR(__xludf.DUMMYFUNCTION("""COMPUTED_VALUE"""),"取得 CNS 62619 認證證書")</f>
        <v>取得 CNS 62619 認證證書</v>
      </c>
      <c r="D174" s="19"/>
      <c r="E174" s="19"/>
      <c r="F174" s="21"/>
      <c r="G174" s="21"/>
      <c r="H174" s="21"/>
      <c r="I174" s="21"/>
      <c r="J174" s="18"/>
      <c r="K174" s="24" t="str">
        <f>IFERROR(__xludf.DUMMYFUNCTION("IF(TO_TEXT(B174)=""TRUE"", C174,"""")"),"取得 CNS 62619 認證證書")</f>
        <v>取得 CNS 62619 認證證書</v>
      </c>
      <c r="L174" s="23" t="str">
        <f>IF(K174="","","；")</f>
        <v>；</v>
      </c>
    </row>
    <row r="175" ht="18.75" customHeight="1">
      <c r="A175" s="13" t="str">
        <f>IFERROR(__xludf.DUMMYFUNCTION("""COMPUTED_VALUE"""),"電芯依使用週期進行汰換")</f>
        <v>電芯依使用週期進行汰換</v>
      </c>
      <c r="B175" s="14" t="str">
        <f>IFERROR(__xludf.DUMMYFUNCTION("""COMPUTED_VALUE"""),"電芯依原廠建議值進行汰換")</f>
        <v>電芯依原廠建議值進行汰換</v>
      </c>
      <c r="C175" s="6"/>
      <c r="D175" s="15">
        <f>IFERROR(__xludf.DUMMYFUNCTION("""COMPUTED_VALUE"""),8.6)</f>
        <v>8.6</v>
      </c>
      <c r="E175" s="16">
        <f>IFERROR(__xludf.DUMMYFUNCTION("""COMPUTED_VALUE"""),0.4)</f>
        <v>0.4</v>
      </c>
      <c r="F175" s="21"/>
      <c r="G175" s="21"/>
      <c r="H175" s="21"/>
      <c r="I175" s="21"/>
      <c r="J175" s="18"/>
      <c r="K175" s="13" t="str">
        <f>B175</f>
        <v>電芯依原廠建議值進行汰換</v>
      </c>
      <c r="L175" s="13"/>
    </row>
    <row r="176" ht="18.75" customHeight="1">
      <c r="A176" s="21"/>
      <c r="B176" s="27"/>
      <c r="C176" s="28"/>
      <c r="D176" s="21"/>
      <c r="E176" s="21"/>
      <c r="F176" s="21"/>
      <c r="G176" s="21"/>
      <c r="H176" s="21"/>
      <c r="I176" s="21"/>
      <c r="J176" s="18"/>
      <c r="K176" s="19"/>
      <c r="L176" s="19"/>
    </row>
    <row r="177" ht="18.75" customHeight="1">
      <c r="A177" s="19"/>
      <c r="B177" s="20"/>
      <c r="C177" s="12"/>
      <c r="D177" s="19"/>
      <c r="E177" s="19"/>
      <c r="F177" s="19"/>
      <c r="G177" s="19"/>
      <c r="H177" s="19"/>
      <c r="I177" s="19"/>
      <c r="J177" s="18"/>
      <c r="K177" s="32"/>
      <c r="L177" s="32"/>
    </row>
    <row r="178" ht="34.5" customHeight="1">
      <c r="A178" s="1" t="str">
        <f>IFERROR(__xludf.DUMMYFUNCTION("""COMPUTED_VALUE"""),"電池散熱裝置故障 F2-a2(t)")</f>
        <v>電池散熱裝置故障 F2-a2(t)</v>
      </c>
      <c r="B178" s="2"/>
      <c r="C178" s="2"/>
      <c r="D178" s="2"/>
      <c r="E178" s="2"/>
      <c r="F178" s="2"/>
      <c r="G178" s="2"/>
      <c r="H178" s="3"/>
      <c r="I178" s="3"/>
      <c r="J178" s="4"/>
      <c r="K178" s="5" t="str">
        <f>"「"&amp;A178&amp;"」的調查問項包括"&amp;A180&amp;"、"&amp;A183&amp;"等2項。其中，「"&amp;A180&amp;"」方面，設定條件為"&amp;K180&amp;L180&amp;K181&amp;L181&amp;K182&amp;L182&amp;"符合「"&amp;A183&amp;"」的條件，則為"&amp;K183&amp;"。將確證後計算加權分數後，可靠度概率為"&amp;H180&amp;"，"&amp;A178&amp;"的故障率為"&amp;I180&amp;"。"</f>
        <v>「電池散熱裝置故障 F2-a2(t)」的調查問項包括電池散熱裝置通過認證、電池散熱裝置定期檢修等2項。其中，「電池散熱裝置通過認證」方面，設定條件為散熱裝置取得國際標準認證證書、EMS 可偵測散熱裝置的異常情況；符合「電池散熱裝置定期檢修」的條件，則為電池散熱裝置二年檢修1次。將確證後計算加權分數後，可靠度概率為86.0%，電池散熱裝置故障 F2-a2(t)的故障率為14.0%。</v>
      </c>
      <c r="L178" s="6"/>
    </row>
    <row r="179" ht="34.5" customHeight="1">
      <c r="A179" s="7" t="str">
        <f>IFERROR(__xludf.DUMMYFUNCTION("""COMPUTED_VALUE"""),"確保可靠度的手段")</f>
        <v>確保可靠度的手段</v>
      </c>
      <c r="B179" s="8" t="str">
        <f>IFERROR(__xludf.DUMMYFUNCTION("""COMPUTED_VALUE"""),"確證方式")</f>
        <v>確證方式</v>
      </c>
      <c r="C179" s="9"/>
      <c r="D179" s="7" t="str">
        <f>IFERROR(__xludf.DUMMYFUNCTION("""COMPUTED_VALUE"""),"得分")</f>
        <v>得分</v>
      </c>
      <c r="E179" s="7" t="str">
        <f>IFERROR(__xludf.DUMMYFUNCTION("""COMPUTED_VALUE"""),"權重")</f>
        <v>權重</v>
      </c>
      <c r="F179" s="7" t="str">
        <f>IFERROR(__xludf.DUMMYFUNCTION("""COMPUTED_VALUE"""),"可靠度
 概率")</f>
        <v>可靠度
 概率</v>
      </c>
      <c r="G179" s="7" t="str">
        <f>IFERROR(__xludf.DUMMYFUNCTION("""COMPUTED_VALUE"""),"F2-a2(t)")</f>
        <v>F2-a2(t)</v>
      </c>
      <c r="H179" s="7" t="s">
        <v>2</v>
      </c>
      <c r="I179" s="7" t="s">
        <v>21</v>
      </c>
      <c r="J179" s="10"/>
      <c r="K179" s="11"/>
      <c r="L179" s="12"/>
    </row>
    <row r="180" ht="18.75" customHeight="1">
      <c r="A180" s="22" t="str">
        <f>IFERROR(__xludf.DUMMYFUNCTION("""COMPUTED_VALUE"""),"電池散熱裝置通過認證")</f>
        <v>電池散熱裝置通過認證</v>
      </c>
      <c r="B180" s="23" t="b">
        <f>IFERROR(__xludf.DUMMYFUNCTION("""COMPUTED_VALUE"""),TRUE)</f>
        <v>1</v>
      </c>
      <c r="C180" s="24" t="str">
        <f>IFERROR(__xludf.DUMMYFUNCTION("""COMPUTED_VALUE"""),"散熱裝置取得國際標準認證證書")</f>
        <v>散熱裝置取得國際標準認證證書</v>
      </c>
      <c r="D180" s="25">
        <f>IFERROR(__xludf.DUMMYFUNCTION("""COMPUTED_VALUE"""),9.0)</f>
        <v>9</v>
      </c>
      <c r="E180" s="26">
        <f>IFERROR(__xludf.DUMMYFUNCTION("""COMPUTED_VALUE"""),0.6)</f>
        <v>0.6</v>
      </c>
      <c r="F180" s="17">
        <f>IFERROR(__xludf.DUMMYFUNCTION("""COMPUTED_VALUE"""),0.86)</f>
        <v>0.86</v>
      </c>
      <c r="G180" s="17">
        <f>IFERROR(__xludf.DUMMYFUNCTION("""COMPUTED_VALUE"""),0.14)</f>
        <v>0.14</v>
      </c>
      <c r="H180" s="17" t="str">
        <f t="shared" ref="H180:I180" si="20">TEXT(ROUND(F180,3),"0.0%")</f>
        <v>86.0%</v>
      </c>
      <c r="I180" s="17" t="str">
        <f t="shared" si="20"/>
        <v>14.0%</v>
      </c>
      <c r="J180" s="18"/>
      <c r="K180" s="24" t="str">
        <f>IFERROR(__xludf.DUMMYFUNCTION("IF(TO_TEXT(B180)=""TRUE"", C180,"""")"),"散熱裝置取得國際標準認證證書")</f>
        <v>散熱裝置取得國際標準認證證書</v>
      </c>
      <c r="L180" s="23" t="str">
        <f>IF(K180="","", IF(K181="","；","、"))</f>
        <v>、</v>
      </c>
    </row>
    <row r="181" ht="18.75" customHeight="1">
      <c r="A181" s="21"/>
      <c r="B181" s="23" t="b">
        <f>IFERROR(__xludf.DUMMYFUNCTION("""COMPUTED_VALUE"""),TRUE)</f>
        <v>1</v>
      </c>
      <c r="C181" s="24" t="str">
        <f>IFERROR(__xludf.DUMMYFUNCTION("""COMPUTED_VALUE"""),"EMS 可偵測散熱裝置的異常情況")</f>
        <v>EMS 可偵測散熱裝置的異常情況</v>
      </c>
      <c r="D181" s="21"/>
      <c r="E181" s="21"/>
      <c r="F181" s="21"/>
      <c r="G181" s="21"/>
      <c r="H181" s="21"/>
      <c r="I181" s="21"/>
      <c r="J181" s="18"/>
      <c r="K181" s="24" t="str">
        <f>IFERROR(__xludf.DUMMYFUNCTION("IF(TO_TEXT(B181)=""TRUE"", C181,"""")"),"EMS 可偵測散熱裝置的異常情況")</f>
        <v>EMS 可偵測散熱裝置的異常情況</v>
      </c>
      <c r="L181" s="23" t="str">
        <f>IF(K182="","；","、")</f>
        <v>；</v>
      </c>
    </row>
    <row r="182" ht="18.75" customHeight="1">
      <c r="A182" s="19"/>
      <c r="B182" s="23" t="b">
        <f>IFERROR(__xludf.DUMMYFUNCTION("""COMPUTED_VALUE"""),FALSE)</f>
        <v>0</v>
      </c>
      <c r="C182" s="24" t="str">
        <f>IFERROR(__xludf.DUMMYFUNCTION("""COMPUTED_VALUE"""),"散熱系統採取雙備援設計")</f>
        <v>散熱系統採取雙備援設計</v>
      </c>
      <c r="D182" s="19"/>
      <c r="E182" s="19"/>
      <c r="F182" s="21"/>
      <c r="G182" s="21"/>
      <c r="H182" s="21"/>
      <c r="I182" s="21"/>
      <c r="J182" s="18"/>
      <c r="K182" s="24" t="str">
        <f>IFERROR(__xludf.DUMMYFUNCTION("IF(TO_TEXT(B182)=""TRUE"", C182,"""")"),"")</f>
        <v/>
      </c>
      <c r="L182" s="23" t="str">
        <f>IF(K182="","","；")</f>
        <v/>
      </c>
    </row>
    <row r="183" ht="18.75" customHeight="1">
      <c r="A183" s="13" t="str">
        <f>IFERROR(__xludf.DUMMYFUNCTION("""COMPUTED_VALUE"""),"電池散熱裝置定期檢修")</f>
        <v>電池散熱裝置定期檢修</v>
      </c>
      <c r="B183" s="14" t="str">
        <f>IFERROR(__xludf.DUMMYFUNCTION("""COMPUTED_VALUE"""),"電池散熱裝置二年檢修1次")</f>
        <v>電池散熱裝置二年檢修1次</v>
      </c>
      <c r="C183" s="6"/>
      <c r="D183" s="15">
        <f>IFERROR(__xludf.DUMMYFUNCTION("""COMPUTED_VALUE"""),8.0)</f>
        <v>8</v>
      </c>
      <c r="E183" s="16">
        <f>IFERROR(__xludf.DUMMYFUNCTION("""COMPUTED_VALUE"""),0.4)</f>
        <v>0.4</v>
      </c>
      <c r="F183" s="21"/>
      <c r="G183" s="21"/>
      <c r="H183" s="21"/>
      <c r="I183" s="21"/>
      <c r="J183" s="18"/>
      <c r="K183" s="13" t="str">
        <f>B183</f>
        <v>電池散熱裝置二年檢修1次</v>
      </c>
      <c r="L183" s="13"/>
    </row>
    <row r="184" ht="18.75" customHeight="1">
      <c r="A184" s="21"/>
      <c r="B184" s="27"/>
      <c r="C184" s="28"/>
      <c r="D184" s="21"/>
      <c r="E184" s="21"/>
      <c r="F184" s="21"/>
      <c r="G184" s="21"/>
      <c r="H184" s="21"/>
      <c r="I184" s="21"/>
      <c r="J184" s="18"/>
      <c r="K184" s="21"/>
      <c r="L184" s="21"/>
    </row>
    <row r="185" ht="18.75" customHeight="1">
      <c r="A185" s="19"/>
      <c r="B185" s="20"/>
      <c r="C185" s="12"/>
      <c r="D185" s="19"/>
      <c r="E185" s="19"/>
      <c r="F185" s="19"/>
      <c r="G185" s="19"/>
      <c r="H185" s="19"/>
      <c r="I185" s="19"/>
      <c r="J185" s="18"/>
      <c r="K185" s="19"/>
      <c r="L185" s="19"/>
    </row>
  </sheetData>
  <mergeCells count="410">
    <mergeCell ref="A24:A25"/>
    <mergeCell ref="B24:C25"/>
    <mergeCell ref="D24:D25"/>
    <mergeCell ref="E24:E25"/>
    <mergeCell ref="A26:A28"/>
    <mergeCell ref="A29:A30"/>
    <mergeCell ref="A31:G31"/>
    <mergeCell ref="B29:C30"/>
    <mergeCell ref="B32:C32"/>
    <mergeCell ref="A33:A35"/>
    <mergeCell ref="D33:D35"/>
    <mergeCell ref="E33:E35"/>
    <mergeCell ref="F33:F38"/>
    <mergeCell ref="G33:G38"/>
    <mergeCell ref="A39:G39"/>
    <mergeCell ref="D43:D44"/>
    <mergeCell ref="E43:E44"/>
    <mergeCell ref="A36:A38"/>
    <mergeCell ref="B36:C38"/>
    <mergeCell ref="A41:A42"/>
    <mergeCell ref="B41:C42"/>
    <mergeCell ref="D41:D42"/>
    <mergeCell ref="E41:E42"/>
    <mergeCell ref="A43:A44"/>
    <mergeCell ref="E48:E49"/>
    <mergeCell ref="K48:K49"/>
    <mergeCell ref="L48:L49"/>
    <mergeCell ref="A50:G50"/>
    <mergeCell ref="K50:L51"/>
    <mergeCell ref="B51:C51"/>
    <mergeCell ref="A60:G60"/>
    <mergeCell ref="B61:C61"/>
    <mergeCell ref="K62:K63"/>
    <mergeCell ref="L62:L63"/>
    <mergeCell ref="D52:D54"/>
    <mergeCell ref="D55:D57"/>
    <mergeCell ref="K55:K57"/>
    <mergeCell ref="L55:L57"/>
    <mergeCell ref="K58:K59"/>
    <mergeCell ref="L58:L59"/>
    <mergeCell ref="K60:L61"/>
    <mergeCell ref="A45:A47"/>
    <mergeCell ref="A48:A49"/>
    <mergeCell ref="B48:C49"/>
    <mergeCell ref="A52:A54"/>
    <mergeCell ref="A55:A57"/>
    <mergeCell ref="B55:C57"/>
    <mergeCell ref="B58:C59"/>
    <mergeCell ref="B62:C63"/>
    <mergeCell ref="D67:D68"/>
    <mergeCell ref="E67:E68"/>
    <mergeCell ref="K67:K68"/>
    <mergeCell ref="L67:L68"/>
    <mergeCell ref="K69:L70"/>
    <mergeCell ref="A58:A59"/>
    <mergeCell ref="D62:D63"/>
    <mergeCell ref="E62:E63"/>
    <mergeCell ref="F62:F68"/>
    <mergeCell ref="G62:G68"/>
    <mergeCell ref="H62:H68"/>
    <mergeCell ref="I62:I68"/>
    <mergeCell ref="A69:G69"/>
    <mergeCell ref="I71:I76"/>
    <mergeCell ref="K74:K76"/>
    <mergeCell ref="L74:L76"/>
    <mergeCell ref="K77:L78"/>
    <mergeCell ref="K79:K80"/>
    <mergeCell ref="L79:L80"/>
    <mergeCell ref="A67:A68"/>
    <mergeCell ref="B67:C68"/>
    <mergeCell ref="B70:C70"/>
    <mergeCell ref="B74:C76"/>
    <mergeCell ref="B78:C78"/>
    <mergeCell ref="B79:C80"/>
    <mergeCell ref="E79:E80"/>
    <mergeCell ref="A62:A63"/>
    <mergeCell ref="A64:A66"/>
    <mergeCell ref="A71:A73"/>
    <mergeCell ref="A74:A76"/>
    <mergeCell ref="A79:A80"/>
    <mergeCell ref="A81:A82"/>
    <mergeCell ref="A83:A85"/>
    <mergeCell ref="A90:A92"/>
    <mergeCell ref="A93:A95"/>
    <mergeCell ref="B93:C95"/>
    <mergeCell ref="D93:D95"/>
    <mergeCell ref="E93:E95"/>
    <mergeCell ref="K93:K95"/>
    <mergeCell ref="L93:L95"/>
    <mergeCell ref="D100:D101"/>
    <mergeCell ref="D102:D104"/>
    <mergeCell ref="E109:E111"/>
    <mergeCell ref="F109:F114"/>
    <mergeCell ref="G109:G114"/>
    <mergeCell ref="H109:H114"/>
    <mergeCell ref="E112:E114"/>
    <mergeCell ref="D119:D120"/>
    <mergeCell ref="D121:D123"/>
    <mergeCell ref="E121:E123"/>
    <mergeCell ref="D124:D125"/>
    <mergeCell ref="E124:E125"/>
    <mergeCell ref="D109:D111"/>
    <mergeCell ref="D112:D114"/>
    <mergeCell ref="F117:F125"/>
    <mergeCell ref="G117:G125"/>
    <mergeCell ref="H117:H125"/>
    <mergeCell ref="I117:I125"/>
    <mergeCell ref="E119:E120"/>
    <mergeCell ref="B105:C106"/>
    <mergeCell ref="D105:D106"/>
    <mergeCell ref="E105:E106"/>
    <mergeCell ref="A107:G107"/>
    <mergeCell ref="B108:C108"/>
    <mergeCell ref="A115:G115"/>
    <mergeCell ref="A102:A104"/>
    <mergeCell ref="A105:A106"/>
    <mergeCell ref="A109:A111"/>
    <mergeCell ref="A112:A114"/>
    <mergeCell ref="B112:C114"/>
    <mergeCell ref="B116:C116"/>
    <mergeCell ref="A117:A118"/>
    <mergeCell ref="B86:C87"/>
    <mergeCell ref="A88:G88"/>
    <mergeCell ref="K88:L89"/>
    <mergeCell ref="B89:C89"/>
    <mergeCell ref="D96:D97"/>
    <mergeCell ref="E96:E97"/>
    <mergeCell ref="K96:K97"/>
    <mergeCell ref="L96:L97"/>
    <mergeCell ref="K98:L99"/>
    <mergeCell ref="A86:A87"/>
    <mergeCell ref="D90:D92"/>
    <mergeCell ref="E90:E92"/>
    <mergeCell ref="F90:F97"/>
    <mergeCell ref="G90:G97"/>
    <mergeCell ref="H90:H97"/>
    <mergeCell ref="I90:I97"/>
    <mergeCell ref="A98:G98"/>
    <mergeCell ref="A96:A97"/>
    <mergeCell ref="B96:C97"/>
    <mergeCell ref="B99:C99"/>
    <mergeCell ref="A100:A101"/>
    <mergeCell ref="B100:C101"/>
    <mergeCell ref="E100:E101"/>
    <mergeCell ref="E102:E104"/>
    <mergeCell ref="B117:C118"/>
    <mergeCell ref="D117:D118"/>
    <mergeCell ref="E117:E118"/>
    <mergeCell ref="L124:L125"/>
    <mergeCell ref="K126:L127"/>
    <mergeCell ref="I109:I114"/>
    <mergeCell ref="K112:K114"/>
    <mergeCell ref="L112:L114"/>
    <mergeCell ref="K115:L116"/>
    <mergeCell ref="K117:K118"/>
    <mergeCell ref="L117:L118"/>
    <mergeCell ref="K124:K125"/>
    <mergeCell ref="D140:D142"/>
    <mergeCell ref="D143:D144"/>
    <mergeCell ref="D138:D139"/>
    <mergeCell ref="E138:E139"/>
    <mergeCell ref="F138:F144"/>
    <mergeCell ref="G138:G144"/>
    <mergeCell ref="H138:H144"/>
    <mergeCell ref="I138:I144"/>
    <mergeCell ref="E140:E142"/>
    <mergeCell ref="A119:A120"/>
    <mergeCell ref="A121:A123"/>
    <mergeCell ref="A124:A125"/>
    <mergeCell ref="B124:C125"/>
    <mergeCell ref="A126:G126"/>
    <mergeCell ref="B127:C127"/>
    <mergeCell ref="A128:A130"/>
    <mergeCell ref="I128:I135"/>
    <mergeCell ref="K131:K133"/>
    <mergeCell ref="L131:L133"/>
    <mergeCell ref="K134:K135"/>
    <mergeCell ref="L134:L135"/>
    <mergeCell ref="K136:L137"/>
    <mergeCell ref="K138:K139"/>
    <mergeCell ref="L138:L139"/>
    <mergeCell ref="D134:D135"/>
    <mergeCell ref="E134:E135"/>
    <mergeCell ref="A136:G136"/>
    <mergeCell ref="D128:D130"/>
    <mergeCell ref="E128:E130"/>
    <mergeCell ref="F128:F135"/>
    <mergeCell ref="G128:G135"/>
    <mergeCell ref="H128:H135"/>
    <mergeCell ref="D131:D133"/>
    <mergeCell ref="E131:E133"/>
    <mergeCell ref="A131:A133"/>
    <mergeCell ref="B131:C133"/>
    <mergeCell ref="A134:A135"/>
    <mergeCell ref="B134:C135"/>
    <mergeCell ref="B137:C137"/>
    <mergeCell ref="A138:A139"/>
    <mergeCell ref="B138:C139"/>
    <mergeCell ref="E143:E144"/>
    <mergeCell ref="K143:K144"/>
    <mergeCell ref="L143:L144"/>
    <mergeCell ref="A145:G145"/>
    <mergeCell ref="K145:L146"/>
    <mergeCell ref="B146:C146"/>
    <mergeCell ref="B154:C154"/>
    <mergeCell ref="A155:A156"/>
    <mergeCell ref="B155:C156"/>
    <mergeCell ref="D155:D156"/>
    <mergeCell ref="E155:E156"/>
    <mergeCell ref="K155:K156"/>
    <mergeCell ref="L155:L156"/>
    <mergeCell ref="G147:G152"/>
    <mergeCell ref="H147:H152"/>
    <mergeCell ref="I147:I152"/>
    <mergeCell ref="K150:K152"/>
    <mergeCell ref="L150:L152"/>
    <mergeCell ref="A153:G153"/>
    <mergeCell ref="K153:L154"/>
    <mergeCell ref="D164:D166"/>
    <mergeCell ref="D167:D169"/>
    <mergeCell ref="A170:G170"/>
    <mergeCell ref="D175:D177"/>
    <mergeCell ref="E175:E177"/>
    <mergeCell ref="B167:C169"/>
    <mergeCell ref="B171:C171"/>
    <mergeCell ref="A172:A174"/>
    <mergeCell ref="D172:D174"/>
    <mergeCell ref="E172:E174"/>
    <mergeCell ref="F172:F177"/>
    <mergeCell ref="G172:G177"/>
    <mergeCell ref="A178:G178"/>
    <mergeCell ref="H180:H185"/>
    <mergeCell ref="I180:I185"/>
    <mergeCell ref="K183:K185"/>
    <mergeCell ref="L183:L185"/>
    <mergeCell ref="A183:A185"/>
    <mergeCell ref="B183:C185"/>
    <mergeCell ref="D183:D185"/>
    <mergeCell ref="E183:E185"/>
    <mergeCell ref="A175:A177"/>
    <mergeCell ref="B175:C177"/>
    <mergeCell ref="A180:A182"/>
    <mergeCell ref="D180:D182"/>
    <mergeCell ref="E180:E182"/>
    <mergeCell ref="F180:F185"/>
    <mergeCell ref="G180:G185"/>
    <mergeCell ref="A140:A142"/>
    <mergeCell ref="A143:A144"/>
    <mergeCell ref="B143:C144"/>
    <mergeCell ref="A147:A149"/>
    <mergeCell ref="D147:D149"/>
    <mergeCell ref="E147:E149"/>
    <mergeCell ref="F147:F152"/>
    <mergeCell ref="E160:E161"/>
    <mergeCell ref="K160:K161"/>
    <mergeCell ref="L160:L161"/>
    <mergeCell ref="A162:G162"/>
    <mergeCell ref="K162:L163"/>
    <mergeCell ref="B163:C163"/>
    <mergeCell ref="D150:D152"/>
    <mergeCell ref="E150:E152"/>
    <mergeCell ref="F155:F161"/>
    <mergeCell ref="G155:G161"/>
    <mergeCell ref="H155:H161"/>
    <mergeCell ref="I155:I161"/>
    <mergeCell ref="E157:E159"/>
    <mergeCell ref="I164:I169"/>
    <mergeCell ref="K167:K169"/>
    <mergeCell ref="L167:L169"/>
    <mergeCell ref="K170:L171"/>
    <mergeCell ref="D157:D159"/>
    <mergeCell ref="D160:D161"/>
    <mergeCell ref="E164:E166"/>
    <mergeCell ref="F164:F169"/>
    <mergeCell ref="G164:G169"/>
    <mergeCell ref="H164:H169"/>
    <mergeCell ref="E167:E169"/>
    <mergeCell ref="A150:A152"/>
    <mergeCell ref="B150:C152"/>
    <mergeCell ref="A157:A159"/>
    <mergeCell ref="A160:A161"/>
    <mergeCell ref="B160:C161"/>
    <mergeCell ref="A164:A166"/>
    <mergeCell ref="A167:A169"/>
    <mergeCell ref="B179:C179"/>
    <mergeCell ref="H172:H177"/>
    <mergeCell ref="I172:I177"/>
    <mergeCell ref="K175:K176"/>
    <mergeCell ref="L175:L176"/>
    <mergeCell ref="K178:L179"/>
    <mergeCell ref="D7:D9"/>
    <mergeCell ref="D14:D16"/>
    <mergeCell ref="F14:F21"/>
    <mergeCell ref="G14:G21"/>
    <mergeCell ref="H14:H21"/>
    <mergeCell ref="D17:D19"/>
    <mergeCell ref="E17:E19"/>
    <mergeCell ref="D26:D28"/>
    <mergeCell ref="D29:D30"/>
    <mergeCell ref="D20:D21"/>
    <mergeCell ref="E20:E21"/>
    <mergeCell ref="F24:F30"/>
    <mergeCell ref="G24:G30"/>
    <mergeCell ref="H24:H30"/>
    <mergeCell ref="I24:I30"/>
    <mergeCell ref="E26:E28"/>
    <mergeCell ref="E29:E30"/>
    <mergeCell ref="K24:K25"/>
    <mergeCell ref="K29:K30"/>
    <mergeCell ref="L29:L30"/>
    <mergeCell ref="K31:L32"/>
    <mergeCell ref="I14:I21"/>
    <mergeCell ref="K17:K19"/>
    <mergeCell ref="L17:L19"/>
    <mergeCell ref="K20:K21"/>
    <mergeCell ref="L20:L21"/>
    <mergeCell ref="K22:L23"/>
    <mergeCell ref="L24:L25"/>
    <mergeCell ref="F3:F11"/>
    <mergeCell ref="G3:G11"/>
    <mergeCell ref="H3:H11"/>
    <mergeCell ref="I3:I11"/>
    <mergeCell ref="K3:K4"/>
    <mergeCell ref="L3:L4"/>
    <mergeCell ref="A1:G1"/>
    <mergeCell ref="K1:L2"/>
    <mergeCell ref="B2:C2"/>
    <mergeCell ref="A3:A4"/>
    <mergeCell ref="B3:C4"/>
    <mergeCell ref="E3:E4"/>
    <mergeCell ref="A5:A6"/>
    <mergeCell ref="E5:E6"/>
    <mergeCell ref="D10:D11"/>
    <mergeCell ref="E10:E11"/>
    <mergeCell ref="K10:K11"/>
    <mergeCell ref="L10:L11"/>
    <mergeCell ref="A12:G12"/>
    <mergeCell ref="K12:L13"/>
    <mergeCell ref="B13:C13"/>
    <mergeCell ref="D3:D4"/>
    <mergeCell ref="D5:D6"/>
    <mergeCell ref="A7:A9"/>
    <mergeCell ref="E7:E9"/>
    <mergeCell ref="A10:A11"/>
    <mergeCell ref="B10:C11"/>
    <mergeCell ref="E14:E16"/>
    <mergeCell ref="A14:A16"/>
    <mergeCell ref="A17:A19"/>
    <mergeCell ref="B17:C19"/>
    <mergeCell ref="A20:A21"/>
    <mergeCell ref="B20:C21"/>
    <mergeCell ref="A22:G22"/>
    <mergeCell ref="B23:C23"/>
    <mergeCell ref="H33:H38"/>
    <mergeCell ref="I33:I38"/>
    <mergeCell ref="K36:K38"/>
    <mergeCell ref="L36:L38"/>
    <mergeCell ref="K39:L40"/>
    <mergeCell ref="B40:C40"/>
    <mergeCell ref="K41:K42"/>
    <mergeCell ref="L41:L42"/>
    <mergeCell ref="D36:D38"/>
    <mergeCell ref="E36:E38"/>
    <mergeCell ref="F41:F49"/>
    <mergeCell ref="G41:G49"/>
    <mergeCell ref="H41:H49"/>
    <mergeCell ref="I41:I49"/>
    <mergeCell ref="E45:E47"/>
    <mergeCell ref="E55:E57"/>
    <mergeCell ref="D58:D59"/>
    <mergeCell ref="E58:E59"/>
    <mergeCell ref="D45:D47"/>
    <mergeCell ref="D48:D49"/>
    <mergeCell ref="E52:E54"/>
    <mergeCell ref="F52:F59"/>
    <mergeCell ref="G52:G59"/>
    <mergeCell ref="H52:H59"/>
    <mergeCell ref="I52:I59"/>
    <mergeCell ref="D71:D73"/>
    <mergeCell ref="D74:D76"/>
    <mergeCell ref="A77:G77"/>
    <mergeCell ref="D64:D66"/>
    <mergeCell ref="E64:E66"/>
    <mergeCell ref="E71:E73"/>
    <mergeCell ref="F71:F76"/>
    <mergeCell ref="G71:G76"/>
    <mergeCell ref="H71:H76"/>
    <mergeCell ref="E74:E76"/>
    <mergeCell ref="F79:F87"/>
    <mergeCell ref="G79:G87"/>
    <mergeCell ref="H79:H87"/>
    <mergeCell ref="I79:I87"/>
    <mergeCell ref="K86:K87"/>
    <mergeCell ref="L86:L87"/>
    <mergeCell ref="D79:D80"/>
    <mergeCell ref="D81:D82"/>
    <mergeCell ref="E81:E82"/>
    <mergeCell ref="D83:D85"/>
    <mergeCell ref="E83:E85"/>
    <mergeCell ref="D86:D87"/>
    <mergeCell ref="E86:E87"/>
    <mergeCell ref="L105:L106"/>
    <mergeCell ref="K107:L108"/>
    <mergeCell ref="F100:F106"/>
    <mergeCell ref="G100:G106"/>
    <mergeCell ref="H100:H106"/>
    <mergeCell ref="I100:I106"/>
    <mergeCell ref="K100:K101"/>
    <mergeCell ref="L100:L101"/>
    <mergeCell ref="K105:K106"/>
  </mergeCells>
  <dataValidations>
    <dataValidation type="list" allowBlank="1" showErrorMessage="1" sqref="B3">
      <formula1>"經由第三方查核確認,未經由第三方查核確認"</formula1>
    </dataValidation>
    <dataValidation type="list" allowBlank="1" showErrorMessage="1" sqref="B10">
      <formula1>"歷史紀錄保存完整,歷史紀錄未保存完整"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/>
  </sheetViews>
  <sheetFormatPr customHeight="1" defaultColWidth="12.63" defaultRowHeight="15.75"/>
  <cols>
    <col customWidth="1" min="1" max="1" width="14.63"/>
    <col customWidth="1" min="2" max="2" width="4.0"/>
    <col customWidth="1" min="3" max="3" width="14.63"/>
    <col customWidth="1" min="4" max="4" width="4.0"/>
    <col customWidth="1" min="5" max="5" width="14.63"/>
    <col customWidth="1" min="6" max="6" width="4.0"/>
    <col customWidth="1" min="7" max="7" width="14.63"/>
    <col customWidth="1" min="8" max="8" width="4.0"/>
    <col customWidth="1" min="9" max="9" width="14.63"/>
    <col customWidth="1" min="10" max="10" width="4.0"/>
    <col customWidth="1" min="11" max="11" width="14.63"/>
    <col customWidth="1" min="12" max="12" width="4.0"/>
    <col customWidth="1" min="13" max="13" width="14.63"/>
    <col customWidth="1" min="14" max="14" width="4.0"/>
    <col customWidth="1" min="15" max="15" width="14.63"/>
    <col customWidth="1" min="16" max="16" width="4.0"/>
    <col customWidth="1" min="17" max="17" width="29.25"/>
    <col customWidth="1" min="18" max="18" width="4.0"/>
    <col customWidth="1" min="19" max="19" width="14.63"/>
    <col customWidth="1" min="20" max="20" width="4.0"/>
  </cols>
  <sheetData>
    <row r="1" ht="37.5" customHeight="1">
      <c r="A1" s="33" t="str">
        <f>IF(A4="","尚未有符合之項目","本案根據建置單位或管理單位所提供圖資或說明資訊，符合防護層D01成功次要素的量表問項包括："&amp;A4&amp;B4&amp;A5&amp;B5&amp;A6&amp;B6&amp;A7&amp;B7&amp;A8&amp;B8&amp;A9&amp;B9&amp;A10&amp;B10&amp;A11&amp;B11&amp;A12&amp;B12&amp;A13&amp;B13&amp;A14&amp;B14&amp;A15&amp;B15&amp;A16&amp;B16&amp;A17&amp;B17&amp;A18&amp;B18&amp;A19&amp;B19&amp;A20&amp;B20)</f>
        <v>尚未有符合之項目</v>
      </c>
      <c r="B1" s="9"/>
      <c r="C1" s="34" t="str">
        <f>IF(C4="","尚未有符合之項目","本案根據建置單位或管理單位所提供圖資或說明資訊，符合防護層D02成功次要素的量表問項包括："&amp;C4&amp;D4&amp;C5&amp;D5&amp;C6&amp;D6&amp;C7&amp;D7&amp;C8&amp;D8&amp;C9&amp;D9&amp;C10&amp;D10&amp;C11&amp;D11&amp;C12&amp;D12&amp;C13&amp;D13&amp;C14&amp;D14&amp;C15&amp;D15&amp;C16&amp;D16&amp;C17&amp;D17&amp;C18&amp;D18&amp;C19&amp;D19&amp;C20&amp;D20)</f>
        <v>尚未有符合之項目</v>
      </c>
      <c r="D1" s="9"/>
      <c r="E1" s="33" t="str">
        <f>IF(E4="","尚未有符合之項目","本案根據建置單位或管理單位所提供圖資或說明資訊，符合防護層D03成功次要素的量表問項包括："&amp;E4&amp;F4&amp;E5&amp;F5&amp;E6&amp;F6&amp;E7&amp;F7&amp;E8&amp;F8&amp;E9&amp;F9&amp;E10&amp;F10&amp;E11&amp;F11&amp;E12&amp;F12&amp;E13&amp;F13&amp;E14&amp;F14&amp;E15&amp;F15&amp;E16&amp;F16&amp;E17&amp;F17&amp;E18&amp;F18&amp;E19&amp;F19&amp;E20&amp;F20)</f>
        <v>尚未有符合之項目</v>
      </c>
      <c r="F1" s="9"/>
      <c r="G1" s="34" t="str">
        <f>IF(G4="","尚未有符合之項目","本案根據建置單位或管理單位所提供圖資或說明資訊，符合防護層D04成功次要素的量表問項包括："&amp;G4&amp;H4&amp;G5&amp;H5&amp;G6&amp;H6&amp;G7&amp;H7&amp;G8&amp;H8&amp;G9&amp;H9&amp;G10&amp;H10&amp;G11&amp;H11&amp;G12&amp;H12&amp;G13&amp;H13&amp;G14&amp;H14&amp;G15&amp;H15&amp;G16&amp;H16&amp;G17&amp;H17&amp;G18&amp;H18&amp;G19&amp;H19&amp;G20&amp;H20)</f>
        <v>尚未有符合之項目</v>
      </c>
      <c r="H1" s="9"/>
      <c r="I1" s="33" t="str">
        <f>IF(I4="","尚未有符合之項目","本案根據建置單位或管理單位所提供圖資或說明資訊，符合防護層D05成功次要素的量表問項包括："&amp;I4&amp;J4&amp;I5&amp;J5&amp;I6&amp;J6&amp;I7&amp;J7&amp;I8&amp;J8&amp;I9&amp;J9&amp;I10&amp;J10&amp;I11&amp;J11&amp;I12&amp;J12&amp;I13&amp;J13&amp;I14&amp;J14&amp;I15&amp;J15&amp;I16&amp;J16&amp;I17&amp;J17&amp;I18&amp;J18&amp;I19&amp;J19&amp;I20&amp;J20)</f>
        <v>尚未有符合之項目</v>
      </c>
      <c r="J1" s="9"/>
      <c r="K1" s="34" t="str">
        <f>IF(K4="","尚未有符合之項目","本案根據建置單位或管理單位所提供圖資或說明資訊，符合防護層D06成功次要素的量表問項包括："&amp;K4&amp;L4&amp;K5&amp;L5&amp;K6&amp;L6&amp;K7&amp;L7&amp;K8&amp;L8&amp;K9&amp;L9&amp;K10&amp;L10&amp;K11&amp;L11&amp;K12&amp;L12&amp;K13&amp;L13&amp;K14&amp;L14&amp;K15&amp;L15&amp;K16&amp;L16&amp;K17&amp;L17&amp;K18&amp;L18&amp;K19&amp;L19&amp;K20&amp;L20)</f>
        <v>尚未有符合之項目</v>
      </c>
      <c r="L1" s="9"/>
      <c r="M1" s="33" t="str">
        <f>IF(M4="","尚未有符合之項目","本案根據建置單位或管理單位所提供圖資或說明資訊，符合防護層D07成功次要素的量表問項包括："&amp;M4&amp;N4&amp;M5&amp;N5&amp;M6&amp;N6&amp;M7&amp;N7&amp;M8&amp;N8&amp;M9&amp;N9&amp;M10&amp;N10&amp;M11&amp;N11&amp;M12&amp;N12&amp;M13&amp;N13&amp;M14&amp;N14&amp;M15&amp;N15&amp;M16&amp;N16&amp;M17&amp;N17&amp;M18&amp;N18&amp;M19&amp;N19&amp;M20&amp;N20)</f>
        <v>尚未有符合之項目</v>
      </c>
      <c r="N1" s="9"/>
      <c r="O1" s="34" t="str">
        <f>IF(O4="","本案根據建置單位或管理單位所提供圖資或說明資訊，本防護層無符合調查量表之項目","本案根據建置單位或管理單位所提供圖資或說明資訊，符合防護層D08成功次要素的量表問項包括："&amp;O4&amp;P4&amp;O5&amp;P5&amp;O6&amp;P6&amp;O7&amp;P7&amp;O8&amp;P8&amp;O9&amp;P9&amp;O10&amp;P10&amp;O11&amp;P11&amp;O12&amp;P12&amp;O13&amp;P13&amp;O14&amp;P14&amp;O15&amp;P15&amp;O16&amp;P16&amp;O17&amp;P17&amp;O18&amp;P18&amp;O19&amp;P19&amp;O20&amp;P20)</f>
        <v>本案根據建置單位或管理單位所提供圖資或說明資訊，本防護層無符合調查量表之項目</v>
      </c>
      <c r="P1" s="9"/>
      <c r="Q1" s="33" t="str">
        <f>IF(Q4="","尚未有符合之項目","本案根據建置單位或管理單位所提供圖資或說明資訊，符合防護層D09成功次要素的量表問項包括："&amp;Q4&amp;R4&amp;Q5&amp;R5&amp;Q6&amp;R6&amp;Q7&amp;R7&amp;Q8&amp;R8&amp;Q9&amp;R9&amp;Q10&amp;R10&amp;Q11&amp;R11&amp;Q12&amp;R12&amp;Q13&amp;R13&amp;Q14&amp;R14&amp;Q15&amp;R15&amp;Q16&amp;R16&amp;Q17&amp;R17&amp;Q18&amp;R18&amp;Q19&amp;R19&amp;Q20&amp;R20&amp;Q21&amp;R21&amp;Q22&amp;R22&amp;Q23&amp;R23&amp;Q24&amp;R24&amp;Q25&amp;R25&amp;Q26&amp;R26&amp;Q27&amp;R27&amp;Q28&amp;R28&amp;Q29&amp;R29&amp;Q30&amp;R30)</f>
        <v>尚未有符合之項目</v>
      </c>
      <c r="R1" s="9"/>
      <c r="S1" s="34" t="str">
        <f>IF(S4="","尚未有符合之項目","本案根據建置單位或管理單位所提供圖資或說明資訊，符合防護層D10成功次要素的量表問項包括："&amp;S4&amp;T4&amp;S5&amp;T5&amp;S6&amp;T6&amp;S7&amp;T7&amp;S8&amp;T8&amp;S9&amp;T9&amp;S10&amp;T10&amp;S11&amp;T11&amp;S12&amp;T12&amp;S13&amp;T13&amp;S14&amp;T14&amp;S15&amp;T15&amp;S16&amp;T16&amp;S17&amp;T17&amp;S18&amp;T18&amp;S19&amp;T19&amp;S20&amp;T20)</f>
        <v>尚未有符合之項目</v>
      </c>
      <c r="T1" s="9"/>
    </row>
    <row r="2" ht="23.25" customHeight="1">
      <c r="A2" s="35" t="str">
        <f>'總表'!A1</f>
        <v>充電電壓設定不當 F1-a1-1(t)</v>
      </c>
      <c r="B2" s="9"/>
      <c r="C2" s="36" t="str">
        <f>'總表'!A12</f>
        <v>充電電壓控制器故障 F1-a1-2(t)</v>
      </c>
      <c r="D2" s="9"/>
      <c r="E2" s="35" t="s">
        <v>22</v>
      </c>
      <c r="F2" s="9"/>
      <c r="G2" s="36" t="s">
        <v>23</v>
      </c>
      <c r="H2" s="9"/>
      <c r="I2" s="35" t="s">
        <v>24</v>
      </c>
      <c r="J2" s="9"/>
      <c r="K2" s="36" t="s">
        <v>25</v>
      </c>
      <c r="L2" s="9"/>
      <c r="M2" s="35" t="s">
        <v>26</v>
      </c>
      <c r="N2" s="9"/>
      <c r="O2" s="36" t="s">
        <v>27</v>
      </c>
      <c r="P2" s="9"/>
      <c r="Q2" s="35" t="s">
        <v>28</v>
      </c>
      <c r="R2" s="9"/>
      <c r="S2" s="36" t="s">
        <v>29</v>
      </c>
      <c r="T2" s="9"/>
    </row>
    <row r="3" ht="23.25" customHeight="1">
      <c r="A3" s="37" t="s">
        <v>30</v>
      </c>
      <c r="B3" s="37" t="s">
        <v>31</v>
      </c>
      <c r="C3" s="38" t="s">
        <v>30</v>
      </c>
      <c r="D3" s="38" t="s">
        <v>31</v>
      </c>
      <c r="E3" s="37" t="s">
        <v>30</v>
      </c>
      <c r="F3" s="37" t="s">
        <v>31</v>
      </c>
      <c r="G3" s="38" t="s">
        <v>30</v>
      </c>
      <c r="H3" s="38" t="s">
        <v>31</v>
      </c>
      <c r="I3" s="37" t="s">
        <v>30</v>
      </c>
      <c r="J3" s="37" t="s">
        <v>31</v>
      </c>
      <c r="K3" s="38" t="s">
        <v>30</v>
      </c>
      <c r="L3" s="38" t="s">
        <v>31</v>
      </c>
      <c r="M3" s="37" t="s">
        <v>30</v>
      </c>
      <c r="N3" s="37" t="s">
        <v>31</v>
      </c>
      <c r="O3" s="38" t="s">
        <v>30</v>
      </c>
      <c r="P3" s="38" t="s">
        <v>31</v>
      </c>
      <c r="Q3" s="37" t="s">
        <v>30</v>
      </c>
      <c r="R3" s="37" t="s">
        <v>31</v>
      </c>
      <c r="S3" s="38" t="s">
        <v>30</v>
      </c>
      <c r="T3" s="38" t="s">
        <v>31</v>
      </c>
    </row>
    <row r="4" ht="23.25" customHeight="1">
      <c r="A4" s="39" t="str">
        <f>IFERROR(__xludf.DUMMYFUNCTION("IFERROR(ARRAYFORMULA(QUERY({'ETA量表'!A1:D50,TO_TEXT('ETA量表'!B1:B50)},""SELECT Col3 WHERE Col5='TRUE' AND Col1 CONTAINS 'D01' AND Col3&lt;&gt;''"",0)),"""")"),"")</f>
        <v/>
      </c>
      <c r="B4" s="39" t="str">
        <f t="shared" ref="B4:B22" si="1">IF(A5="","","、")</f>
        <v/>
      </c>
      <c r="C4" s="40" t="str">
        <f>IFERROR(__xludf.DUMMYFUNCTION("IFERROR(ARRAYFORMULA(QUERY({'ETA量表'!A1:D50,TO_TEXT('ETA量表'!B1:B50)},""SELECT Col3 WHERE Col5='TRUE' AND Col1 CONTAINS 'D02' AND Col3&lt;&gt;''"",0)),"""")"),"")</f>
        <v/>
      </c>
      <c r="D4" s="40" t="str">
        <f t="shared" ref="D4:D22" si="2">IF(C5="","","、")</f>
        <v/>
      </c>
      <c r="E4" s="39" t="str">
        <f>IFERROR(__xludf.DUMMYFUNCTION("IFERROR(ARRAYFORMULA(QUERY({'ETA量表'!A1:D50,TO_TEXT('ETA量表'!B1:B50)},""SELECT Col3 WHERE Col5='TRUE' AND Col1 CONTAINS 'D03' AND Col3&lt;&gt;''"",0)),"""")"),"")</f>
        <v/>
      </c>
      <c r="F4" s="39" t="str">
        <f t="shared" ref="F4:F22" si="3">IF(E5="","","、")</f>
        <v/>
      </c>
      <c r="G4" s="40" t="str">
        <f>IFERROR(__xludf.DUMMYFUNCTION("IFERROR(ARRAYFORMULA(QUERY({'ETA量表'!A1:D50,TO_TEXT('ETA量表'!B1:B50)},""SELECT Col3 WHERE Col5='TRUE' AND Col1 CONTAINS 'D04' AND Col3&lt;&gt;''"",0)),"""")"),"")</f>
        <v/>
      </c>
      <c r="H4" s="40" t="str">
        <f t="shared" ref="H4:H22" si="4">IF(G5="","","、")</f>
        <v/>
      </c>
      <c r="I4" s="39" t="str">
        <f>IFERROR(__xludf.DUMMYFUNCTION("IFERROR(ARRAYFORMULA(QUERY({'ETA量表'!A1:D50,TO_TEXT('ETA量表'!B1:B50)},""SELECT Col3 WHERE Col5='TRUE' AND Col1 CONTAINS 'D05' AND Col3&lt;&gt;''"",0)),"""")"),"")</f>
        <v/>
      </c>
      <c r="J4" s="39" t="str">
        <f t="shared" ref="J4:J22" si="5">IF(I5="","","、")</f>
        <v/>
      </c>
      <c r="K4" s="40" t="str">
        <f>IFERROR(__xludf.DUMMYFUNCTION("IFERROR(ARRAYFORMULA(QUERY({'ETA量表'!A1:D50,TO_TEXT('ETA量表'!B1:B50)},""SELECT Col3 WHERE Col5='TRUE' AND Col1 CONTAINS 'D06' AND Col3&lt;&gt;''"",0)),"""")"),"")</f>
        <v/>
      </c>
      <c r="L4" s="40" t="str">
        <f t="shared" ref="L4:L22" si="6">IF(K5="","","、")</f>
        <v/>
      </c>
      <c r="M4" s="39" t="str">
        <f>IFERROR(__xludf.DUMMYFUNCTION("IFERROR(ARRAYFORMULA(QUERY({'ETA量表'!A1:D50,TO_TEXT('ETA量表'!B1:B50)},""SELECT Col3 WHERE Col5='TRUE' AND Col1 CONTAINS 'D07' AND Col3&lt;&gt;''"",0)),"""")"),"")</f>
        <v/>
      </c>
      <c r="N4" s="39" t="str">
        <f t="shared" ref="N4:N22" si="7">IF(M5="","","、")</f>
        <v/>
      </c>
      <c r="O4" s="40" t="str">
        <f>IFERROR(__xludf.DUMMYFUNCTION("IFERROR(ARRAYFORMULA(QUERY({'ETA量表'!A1:D50,TO_TEXT('ETA量表'!B1:B50)},""SELECT Col3 WHERE Col5='TRUE' AND Col1 CONTAINS 'D08' AND Col3&lt;&gt;''"",0)),"""")"),"")</f>
        <v/>
      </c>
      <c r="P4" s="40" t="str">
        <f t="shared" ref="P4:P22" si="8">IF(O5="","","、")</f>
        <v/>
      </c>
      <c r="Q4" s="39" t="str">
        <f>IFERROR(__xludf.DUMMYFUNCTION("IFERROR(ARRAYFORMULA(QUERY({'ETA量表'!A1:D50,TO_TEXT('ETA量表'!B1:B50)},""SELECT Col3 WHERE Col5='TRUE' AND Col1 CONTAINS 'D09' AND Col3&lt;&gt;''"",0)),"""")"),"")</f>
        <v/>
      </c>
      <c r="R4" s="39" t="str">
        <f t="shared" ref="R4:R50" si="9">IF(Q5="","","、")</f>
        <v/>
      </c>
      <c r="S4" s="40" t="str">
        <f>IFERROR(__xludf.DUMMYFUNCTION("IFERROR(ARRAYFORMULA(QUERY({'ETA量表'!A1:D50,TO_TEXT('ETA量表'!B1:B50)},""SELECT Col3 WHERE Col5='TRUE' AND Col1 CONTAINS 'D10' AND Col3&lt;&gt;''"",0)),"""")"),"")</f>
        <v/>
      </c>
      <c r="T4" s="40" t="str">
        <f t="shared" ref="T4:T22" si="10">IF(S5="","","、")</f>
        <v/>
      </c>
    </row>
    <row r="5" ht="23.25" customHeight="1">
      <c r="A5" s="39"/>
      <c r="B5" s="39" t="str">
        <f t="shared" si="1"/>
        <v/>
      </c>
      <c r="C5" s="40"/>
      <c r="D5" s="40" t="str">
        <f t="shared" si="2"/>
        <v/>
      </c>
      <c r="E5" s="39"/>
      <c r="F5" s="39" t="str">
        <f t="shared" si="3"/>
        <v/>
      </c>
      <c r="G5" s="40"/>
      <c r="H5" s="40" t="str">
        <f t="shared" si="4"/>
        <v/>
      </c>
      <c r="I5" s="39"/>
      <c r="J5" s="39" t="str">
        <f t="shared" si="5"/>
        <v/>
      </c>
      <c r="K5" s="40"/>
      <c r="L5" s="40" t="str">
        <f t="shared" si="6"/>
        <v/>
      </c>
      <c r="M5" s="39"/>
      <c r="N5" s="39" t="str">
        <f t="shared" si="7"/>
        <v/>
      </c>
      <c r="O5" s="40"/>
      <c r="P5" s="40" t="str">
        <f t="shared" si="8"/>
        <v/>
      </c>
      <c r="Q5" s="39"/>
      <c r="R5" s="39" t="str">
        <f t="shared" si="9"/>
        <v/>
      </c>
      <c r="S5" s="40"/>
      <c r="T5" s="40" t="str">
        <f t="shared" si="10"/>
        <v/>
      </c>
    </row>
    <row r="6" ht="23.25" customHeight="1">
      <c r="A6" s="39"/>
      <c r="B6" s="39" t="str">
        <f t="shared" si="1"/>
        <v/>
      </c>
      <c r="C6" s="40"/>
      <c r="D6" s="40" t="str">
        <f t="shared" si="2"/>
        <v/>
      </c>
      <c r="E6" s="39"/>
      <c r="F6" s="39" t="str">
        <f t="shared" si="3"/>
        <v/>
      </c>
      <c r="G6" s="40"/>
      <c r="H6" s="40" t="str">
        <f t="shared" si="4"/>
        <v/>
      </c>
      <c r="I6" s="39"/>
      <c r="J6" s="39" t="str">
        <f t="shared" si="5"/>
        <v/>
      </c>
      <c r="K6" s="40"/>
      <c r="L6" s="40" t="str">
        <f t="shared" si="6"/>
        <v/>
      </c>
      <c r="M6" s="39"/>
      <c r="N6" s="39" t="str">
        <f t="shared" si="7"/>
        <v/>
      </c>
      <c r="O6" s="40"/>
      <c r="P6" s="40" t="str">
        <f t="shared" si="8"/>
        <v/>
      </c>
      <c r="Q6" s="39"/>
      <c r="R6" s="39" t="str">
        <f t="shared" si="9"/>
        <v/>
      </c>
      <c r="S6" s="40"/>
      <c r="T6" s="40" t="str">
        <f t="shared" si="10"/>
        <v/>
      </c>
    </row>
    <row r="7" ht="23.25" customHeight="1">
      <c r="A7" s="39"/>
      <c r="B7" s="39" t="str">
        <f t="shared" si="1"/>
        <v/>
      </c>
      <c r="C7" s="40"/>
      <c r="D7" s="40" t="str">
        <f t="shared" si="2"/>
        <v/>
      </c>
      <c r="E7" s="39"/>
      <c r="F7" s="39" t="str">
        <f t="shared" si="3"/>
        <v/>
      </c>
      <c r="G7" s="40"/>
      <c r="H7" s="40" t="str">
        <f t="shared" si="4"/>
        <v/>
      </c>
      <c r="I7" s="39"/>
      <c r="J7" s="39" t="str">
        <f t="shared" si="5"/>
        <v/>
      </c>
      <c r="K7" s="40"/>
      <c r="L7" s="40" t="str">
        <f t="shared" si="6"/>
        <v/>
      </c>
      <c r="M7" s="39"/>
      <c r="N7" s="39" t="str">
        <f t="shared" si="7"/>
        <v/>
      </c>
      <c r="O7" s="40"/>
      <c r="P7" s="40" t="str">
        <f t="shared" si="8"/>
        <v/>
      </c>
      <c r="Q7" s="39"/>
      <c r="R7" s="39" t="str">
        <f t="shared" si="9"/>
        <v/>
      </c>
      <c r="S7" s="40"/>
      <c r="T7" s="40" t="str">
        <f t="shared" si="10"/>
        <v/>
      </c>
    </row>
    <row r="8" ht="23.25" customHeight="1">
      <c r="A8" s="39"/>
      <c r="B8" s="39" t="str">
        <f t="shared" si="1"/>
        <v/>
      </c>
      <c r="C8" s="40"/>
      <c r="D8" s="40" t="str">
        <f t="shared" si="2"/>
        <v/>
      </c>
      <c r="E8" s="39"/>
      <c r="F8" s="39" t="str">
        <f t="shared" si="3"/>
        <v/>
      </c>
      <c r="G8" s="40"/>
      <c r="H8" s="40" t="str">
        <f t="shared" si="4"/>
        <v/>
      </c>
      <c r="I8" s="39"/>
      <c r="J8" s="39" t="str">
        <f t="shared" si="5"/>
        <v/>
      </c>
      <c r="K8" s="40"/>
      <c r="L8" s="40" t="str">
        <f t="shared" si="6"/>
        <v/>
      </c>
      <c r="M8" s="39"/>
      <c r="N8" s="39" t="str">
        <f t="shared" si="7"/>
        <v/>
      </c>
      <c r="O8" s="40"/>
      <c r="P8" s="40" t="str">
        <f t="shared" si="8"/>
        <v/>
      </c>
      <c r="Q8" s="39"/>
      <c r="R8" s="39" t="str">
        <f t="shared" si="9"/>
        <v/>
      </c>
      <c r="S8" s="40"/>
      <c r="T8" s="40" t="str">
        <f t="shared" si="10"/>
        <v/>
      </c>
    </row>
    <row r="9" ht="23.25" customHeight="1">
      <c r="A9" s="39"/>
      <c r="B9" s="39" t="str">
        <f t="shared" si="1"/>
        <v/>
      </c>
      <c r="C9" s="40"/>
      <c r="D9" s="40" t="str">
        <f t="shared" si="2"/>
        <v/>
      </c>
      <c r="E9" s="39"/>
      <c r="F9" s="39" t="str">
        <f t="shared" si="3"/>
        <v/>
      </c>
      <c r="G9" s="40"/>
      <c r="H9" s="40" t="str">
        <f t="shared" si="4"/>
        <v/>
      </c>
      <c r="I9" s="39"/>
      <c r="J9" s="39" t="str">
        <f t="shared" si="5"/>
        <v/>
      </c>
      <c r="K9" s="40"/>
      <c r="L9" s="40" t="str">
        <f t="shared" si="6"/>
        <v/>
      </c>
      <c r="M9" s="39"/>
      <c r="N9" s="39" t="str">
        <f t="shared" si="7"/>
        <v/>
      </c>
      <c r="O9" s="40"/>
      <c r="P9" s="40" t="str">
        <f t="shared" si="8"/>
        <v/>
      </c>
      <c r="Q9" s="39"/>
      <c r="R9" s="39" t="str">
        <f t="shared" si="9"/>
        <v/>
      </c>
      <c r="S9" s="40"/>
      <c r="T9" s="40" t="str">
        <f t="shared" si="10"/>
        <v/>
      </c>
    </row>
    <row r="10" ht="23.25" customHeight="1">
      <c r="A10" s="39"/>
      <c r="B10" s="39" t="str">
        <f t="shared" si="1"/>
        <v/>
      </c>
      <c r="C10" s="40"/>
      <c r="D10" s="40" t="str">
        <f t="shared" si="2"/>
        <v/>
      </c>
      <c r="E10" s="39"/>
      <c r="F10" s="39" t="str">
        <f t="shared" si="3"/>
        <v/>
      </c>
      <c r="G10" s="40"/>
      <c r="H10" s="40" t="str">
        <f t="shared" si="4"/>
        <v/>
      </c>
      <c r="I10" s="39"/>
      <c r="J10" s="39" t="str">
        <f t="shared" si="5"/>
        <v/>
      </c>
      <c r="K10" s="40"/>
      <c r="L10" s="40" t="str">
        <f t="shared" si="6"/>
        <v/>
      </c>
      <c r="M10" s="39"/>
      <c r="N10" s="39" t="str">
        <f t="shared" si="7"/>
        <v/>
      </c>
      <c r="O10" s="40"/>
      <c r="P10" s="40" t="str">
        <f t="shared" si="8"/>
        <v/>
      </c>
      <c r="Q10" s="39"/>
      <c r="R10" s="39" t="str">
        <f t="shared" si="9"/>
        <v/>
      </c>
      <c r="S10" s="40"/>
      <c r="T10" s="40" t="str">
        <f t="shared" si="10"/>
        <v/>
      </c>
    </row>
    <row r="11" ht="23.25" customHeight="1">
      <c r="A11" s="39"/>
      <c r="B11" s="39" t="str">
        <f t="shared" si="1"/>
        <v/>
      </c>
      <c r="C11" s="40"/>
      <c r="D11" s="40" t="str">
        <f t="shared" si="2"/>
        <v/>
      </c>
      <c r="E11" s="39"/>
      <c r="F11" s="39" t="str">
        <f t="shared" si="3"/>
        <v/>
      </c>
      <c r="G11" s="40"/>
      <c r="H11" s="40" t="str">
        <f t="shared" si="4"/>
        <v/>
      </c>
      <c r="I11" s="39"/>
      <c r="J11" s="39" t="str">
        <f t="shared" si="5"/>
        <v/>
      </c>
      <c r="K11" s="40"/>
      <c r="L11" s="40" t="str">
        <f t="shared" si="6"/>
        <v/>
      </c>
      <c r="M11" s="39"/>
      <c r="N11" s="39" t="str">
        <f t="shared" si="7"/>
        <v/>
      </c>
      <c r="O11" s="40"/>
      <c r="P11" s="40" t="str">
        <f t="shared" si="8"/>
        <v/>
      </c>
      <c r="Q11" s="39"/>
      <c r="R11" s="39" t="str">
        <f t="shared" si="9"/>
        <v/>
      </c>
      <c r="S11" s="40"/>
      <c r="T11" s="40" t="str">
        <f t="shared" si="10"/>
        <v/>
      </c>
    </row>
    <row r="12" ht="23.25" customHeight="1">
      <c r="A12" s="39"/>
      <c r="B12" s="39" t="str">
        <f t="shared" si="1"/>
        <v/>
      </c>
      <c r="C12" s="40"/>
      <c r="D12" s="40" t="str">
        <f t="shared" si="2"/>
        <v/>
      </c>
      <c r="E12" s="39"/>
      <c r="F12" s="39" t="str">
        <f t="shared" si="3"/>
        <v/>
      </c>
      <c r="G12" s="40"/>
      <c r="H12" s="40" t="str">
        <f t="shared" si="4"/>
        <v/>
      </c>
      <c r="I12" s="39"/>
      <c r="J12" s="39" t="str">
        <f t="shared" si="5"/>
        <v/>
      </c>
      <c r="K12" s="40"/>
      <c r="L12" s="40" t="str">
        <f t="shared" si="6"/>
        <v/>
      </c>
      <c r="M12" s="39"/>
      <c r="N12" s="39" t="str">
        <f t="shared" si="7"/>
        <v/>
      </c>
      <c r="O12" s="40"/>
      <c r="P12" s="40" t="str">
        <f t="shared" si="8"/>
        <v/>
      </c>
      <c r="Q12" s="39"/>
      <c r="R12" s="39" t="str">
        <f t="shared" si="9"/>
        <v/>
      </c>
      <c r="S12" s="40"/>
      <c r="T12" s="40" t="str">
        <f t="shared" si="10"/>
        <v/>
      </c>
    </row>
    <row r="13" ht="23.25" customHeight="1">
      <c r="A13" s="39"/>
      <c r="B13" s="39" t="str">
        <f t="shared" si="1"/>
        <v/>
      </c>
      <c r="C13" s="40"/>
      <c r="D13" s="40" t="str">
        <f t="shared" si="2"/>
        <v/>
      </c>
      <c r="E13" s="39"/>
      <c r="F13" s="39" t="str">
        <f t="shared" si="3"/>
        <v/>
      </c>
      <c r="G13" s="40"/>
      <c r="H13" s="40" t="str">
        <f t="shared" si="4"/>
        <v/>
      </c>
      <c r="I13" s="39"/>
      <c r="J13" s="39" t="str">
        <f t="shared" si="5"/>
        <v/>
      </c>
      <c r="K13" s="40"/>
      <c r="L13" s="40" t="str">
        <f t="shared" si="6"/>
        <v/>
      </c>
      <c r="M13" s="39"/>
      <c r="N13" s="39" t="str">
        <f t="shared" si="7"/>
        <v/>
      </c>
      <c r="O13" s="40"/>
      <c r="P13" s="40" t="str">
        <f t="shared" si="8"/>
        <v/>
      </c>
      <c r="Q13" s="39"/>
      <c r="R13" s="39" t="str">
        <f t="shared" si="9"/>
        <v/>
      </c>
      <c r="S13" s="40"/>
      <c r="T13" s="40" t="str">
        <f t="shared" si="10"/>
        <v/>
      </c>
    </row>
    <row r="14" ht="23.25" customHeight="1">
      <c r="A14" s="39"/>
      <c r="B14" s="39" t="str">
        <f t="shared" si="1"/>
        <v/>
      </c>
      <c r="C14" s="40"/>
      <c r="D14" s="40" t="str">
        <f t="shared" si="2"/>
        <v/>
      </c>
      <c r="E14" s="39"/>
      <c r="F14" s="39" t="str">
        <f t="shared" si="3"/>
        <v/>
      </c>
      <c r="G14" s="40"/>
      <c r="H14" s="40" t="str">
        <f t="shared" si="4"/>
        <v/>
      </c>
      <c r="I14" s="39"/>
      <c r="J14" s="39" t="str">
        <f t="shared" si="5"/>
        <v/>
      </c>
      <c r="K14" s="40"/>
      <c r="L14" s="40" t="str">
        <f t="shared" si="6"/>
        <v/>
      </c>
      <c r="M14" s="39"/>
      <c r="N14" s="39" t="str">
        <f t="shared" si="7"/>
        <v/>
      </c>
      <c r="O14" s="40"/>
      <c r="P14" s="40" t="str">
        <f t="shared" si="8"/>
        <v/>
      </c>
      <c r="Q14" s="39"/>
      <c r="R14" s="39" t="str">
        <f t="shared" si="9"/>
        <v/>
      </c>
      <c r="S14" s="40"/>
      <c r="T14" s="40" t="str">
        <f t="shared" si="10"/>
        <v/>
      </c>
    </row>
    <row r="15" ht="23.25" customHeight="1">
      <c r="A15" s="39"/>
      <c r="B15" s="39" t="str">
        <f t="shared" si="1"/>
        <v/>
      </c>
      <c r="C15" s="40"/>
      <c r="D15" s="40" t="str">
        <f t="shared" si="2"/>
        <v/>
      </c>
      <c r="E15" s="39"/>
      <c r="F15" s="39" t="str">
        <f t="shared" si="3"/>
        <v/>
      </c>
      <c r="G15" s="40"/>
      <c r="H15" s="40" t="str">
        <f t="shared" si="4"/>
        <v/>
      </c>
      <c r="I15" s="39"/>
      <c r="J15" s="39" t="str">
        <f t="shared" si="5"/>
        <v/>
      </c>
      <c r="K15" s="40"/>
      <c r="L15" s="40" t="str">
        <f t="shared" si="6"/>
        <v/>
      </c>
      <c r="M15" s="39"/>
      <c r="N15" s="39" t="str">
        <f t="shared" si="7"/>
        <v/>
      </c>
      <c r="O15" s="40"/>
      <c r="P15" s="40" t="str">
        <f t="shared" si="8"/>
        <v/>
      </c>
      <c r="Q15" s="39"/>
      <c r="R15" s="39" t="str">
        <f t="shared" si="9"/>
        <v/>
      </c>
      <c r="S15" s="40"/>
      <c r="T15" s="40" t="str">
        <f t="shared" si="10"/>
        <v/>
      </c>
    </row>
    <row r="16" ht="23.25" customHeight="1">
      <c r="A16" s="39"/>
      <c r="B16" s="39" t="str">
        <f t="shared" si="1"/>
        <v/>
      </c>
      <c r="C16" s="40"/>
      <c r="D16" s="40" t="str">
        <f t="shared" si="2"/>
        <v/>
      </c>
      <c r="E16" s="39"/>
      <c r="F16" s="39" t="str">
        <f t="shared" si="3"/>
        <v/>
      </c>
      <c r="G16" s="40"/>
      <c r="H16" s="40" t="str">
        <f t="shared" si="4"/>
        <v/>
      </c>
      <c r="I16" s="39"/>
      <c r="J16" s="39" t="str">
        <f t="shared" si="5"/>
        <v/>
      </c>
      <c r="K16" s="40"/>
      <c r="L16" s="40" t="str">
        <f t="shared" si="6"/>
        <v/>
      </c>
      <c r="M16" s="39"/>
      <c r="N16" s="39" t="str">
        <f t="shared" si="7"/>
        <v/>
      </c>
      <c r="O16" s="40"/>
      <c r="P16" s="40" t="str">
        <f t="shared" si="8"/>
        <v/>
      </c>
      <c r="Q16" s="39"/>
      <c r="R16" s="39" t="str">
        <f t="shared" si="9"/>
        <v/>
      </c>
      <c r="S16" s="40"/>
      <c r="T16" s="40" t="str">
        <f t="shared" si="10"/>
        <v/>
      </c>
    </row>
    <row r="17" ht="23.25" customHeight="1">
      <c r="A17" s="39"/>
      <c r="B17" s="39" t="str">
        <f t="shared" si="1"/>
        <v/>
      </c>
      <c r="C17" s="40"/>
      <c r="D17" s="40" t="str">
        <f t="shared" si="2"/>
        <v/>
      </c>
      <c r="E17" s="39"/>
      <c r="F17" s="39" t="str">
        <f t="shared" si="3"/>
        <v/>
      </c>
      <c r="G17" s="40"/>
      <c r="H17" s="40" t="str">
        <f t="shared" si="4"/>
        <v/>
      </c>
      <c r="I17" s="39"/>
      <c r="J17" s="39" t="str">
        <f t="shared" si="5"/>
        <v/>
      </c>
      <c r="K17" s="40"/>
      <c r="L17" s="40" t="str">
        <f t="shared" si="6"/>
        <v/>
      </c>
      <c r="M17" s="39"/>
      <c r="N17" s="39" t="str">
        <f t="shared" si="7"/>
        <v/>
      </c>
      <c r="O17" s="40"/>
      <c r="P17" s="40" t="str">
        <f t="shared" si="8"/>
        <v/>
      </c>
      <c r="Q17" s="39"/>
      <c r="R17" s="39" t="str">
        <f t="shared" si="9"/>
        <v/>
      </c>
      <c r="S17" s="40"/>
      <c r="T17" s="40" t="str">
        <f t="shared" si="10"/>
        <v/>
      </c>
    </row>
    <row r="18" ht="23.25" customHeight="1">
      <c r="A18" s="39"/>
      <c r="B18" s="39" t="str">
        <f t="shared" si="1"/>
        <v/>
      </c>
      <c r="C18" s="40"/>
      <c r="D18" s="40" t="str">
        <f t="shared" si="2"/>
        <v/>
      </c>
      <c r="E18" s="39"/>
      <c r="F18" s="39" t="str">
        <f t="shared" si="3"/>
        <v/>
      </c>
      <c r="G18" s="40"/>
      <c r="H18" s="40" t="str">
        <f t="shared" si="4"/>
        <v/>
      </c>
      <c r="I18" s="39"/>
      <c r="J18" s="39" t="str">
        <f t="shared" si="5"/>
        <v/>
      </c>
      <c r="K18" s="40"/>
      <c r="L18" s="40" t="str">
        <f t="shared" si="6"/>
        <v/>
      </c>
      <c r="M18" s="39"/>
      <c r="N18" s="39" t="str">
        <f t="shared" si="7"/>
        <v/>
      </c>
      <c r="O18" s="40"/>
      <c r="P18" s="40" t="str">
        <f t="shared" si="8"/>
        <v/>
      </c>
      <c r="Q18" s="39"/>
      <c r="R18" s="39" t="str">
        <f t="shared" si="9"/>
        <v/>
      </c>
      <c r="S18" s="40"/>
      <c r="T18" s="40" t="str">
        <f t="shared" si="10"/>
        <v/>
      </c>
    </row>
    <row r="19" ht="23.25" customHeight="1">
      <c r="A19" s="39"/>
      <c r="B19" s="39" t="str">
        <f t="shared" si="1"/>
        <v/>
      </c>
      <c r="C19" s="40"/>
      <c r="D19" s="40" t="str">
        <f t="shared" si="2"/>
        <v/>
      </c>
      <c r="E19" s="39"/>
      <c r="F19" s="39" t="str">
        <f t="shared" si="3"/>
        <v/>
      </c>
      <c r="G19" s="40"/>
      <c r="H19" s="40" t="str">
        <f t="shared" si="4"/>
        <v/>
      </c>
      <c r="I19" s="39"/>
      <c r="J19" s="39" t="str">
        <f t="shared" si="5"/>
        <v/>
      </c>
      <c r="K19" s="40"/>
      <c r="L19" s="40" t="str">
        <f t="shared" si="6"/>
        <v/>
      </c>
      <c r="M19" s="39"/>
      <c r="N19" s="39" t="str">
        <f t="shared" si="7"/>
        <v/>
      </c>
      <c r="O19" s="40"/>
      <c r="P19" s="40" t="str">
        <f t="shared" si="8"/>
        <v/>
      </c>
      <c r="Q19" s="39"/>
      <c r="R19" s="39" t="str">
        <f t="shared" si="9"/>
        <v/>
      </c>
      <c r="S19" s="40"/>
      <c r="T19" s="40" t="str">
        <f t="shared" si="10"/>
        <v/>
      </c>
    </row>
    <row r="20" ht="23.25" customHeight="1">
      <c r="A20" s="39"/>
      <c r="B20" s="39" t="str">
        <f t="shared" si="1"/>
        <v/>
      </c>
      <c r="C20" s="40"/>
      <c r="D20" s="40" t="str">
        <f t="shared" si="2"/>
        <v/>
      </c>
      <c r="E20" s="39"/>
      <c r="F20" s="39" t="str">
        <f t="shared" si="3"/>
        <v/>
      </c>
      <c r="G20" s="40"/>
      <c r="H20" s="40" t="str">
        <f t="shared" si="4"/>
        <v/>
      </c>
      <c r="I20" s="39"/>
      <c r="J20" s="39" t="str">
        <f t="shared" si="5"/>
        <v/>
      </c>
      <c r="K20" s="40"/>
      <c r="L20" s="40" t="str">
        <f t="shared" si="6"/>
        <v/>
      </c>
      <c r="M20" s="39"/>
      <c r="N20" s="39" t="str">
        <f t="shared" si="7"/>
        <v/>
      </c>
      <c r="O20" s="40"/>
      <c r="P20" s="40" t="str">
        <f t="shared" si="8"/>
        <v/>
      </c>
      <c r="Q20" s="39"/>
      <c r="R20" s="39" t="str">
        <f t="shared" si="9"/>
        <v/>
      </c>
      <c r="S20" s="40"/>
      <c r="T20" s="40" t="str">
        <f t="shared" si="10"/>
        <v/>
      </c>
    </row>
    <row r="21" ht="23.25" customHeight="1">
      <c r="A21" s="39"/>
      <c r="B21" s="39" t="str">
        <f t="shared" si="1"/>
        <v/>
      </c>
      <c r="C21" s="40"/>
      <c r="D21" s="40" t="str">
        <f t="shared" si="2"/>
        <v/>
      </c>
      <c r="E21" s="39"/>
      <c r="F21" s="39" t="str">
        <f t="shared" si="3"/>
        <v/>
      </c>
      <c r="G21" s="40"/>
      <c r="H21" s="40" t="str">
        <f t="shared" si="4"/>
        <v/>
      </c>
      <c r="I21" s="39"/>
      <c r="J21" s="39" t="str">
        <f t="shared" si="5"/>
        <v/>
      </c>
      <c r="K21" s="40"/>
      <c r="L21" s="40" t="str">
        <f t="shared" si="6"/>
        <v/>
      </c>
      <c r="M21" s="39"/>
      <c r="N21" s="39" t="str">
        <f t="shared" si="7"/>
        <v/>
      </c>
      <c r="O21" s="40"/>
      <c r="P21" s="40" t="str">
        <f t="shared" si="8"/>
        <v/>
      </c>
      <c r="Q21" s="39"/>
      <c r="R21" s="39" t="str">
        <f t="shared" si="9"/>
        <v/>
      </c>
      <c r="S21" s="40"/>
      <c r="T21" s="40" t="str">
        <f t="shared" si="10"/>
        <v/>
      </c>
    </row>
    <row r="22" ht="23.25" customHeight="1">
      <c r="A22" s="39"/>
      <c r="B22" s="39" t="str">
        <f t="shared" si="1"/>
        <v/>
      </c>
      <c r="C22" s="40"/>
      <c r="D22" s="40" t="str">
        <f t="shared" si="2"/>
        <v/>
      </c>
      <c r="E22" s="39"/>
      <c r="F22" s="39" t="str">
        <f t="shared" si="3"/>
        <v/>
      </c>
      <c r="G22" s="40"/>
      <c r="H22" s="40" t="str">
        <f t="shared" si="4"/>
        <v/>
      </c>
      <c r="I22" s="39"/>
      <c r="J22" s="39" t="str">
        <f t="shared" si="5"/>
        <v/>
      </c>
      <c r="K22" s="40"/>
      <c r="L22" s="40" t="str">
        <f t="shared" si="6"/>
        <v/>
      </c>
      <c r="M22" s="39"/>
      <c r="N22" s="39" t="str">
        <f t="shared" si="7"/>
        <v/>
      </c>
      <c r="O22" s="40"/>
      <c r="P22" s="40" t="str">
        <f t="shared" si="8"/>
        <v/>
      </c>
      <c r="Q22" s="39"/>
      <c r="R22" s="39" t="str">
        <f t="shared" si="9"/>
        <v/>
      </c>
      <c r="S22" s="40"/>
      <c r="T22" s="40" t="str">
        <f t="shared" si="10"/>
        <v/>
      </c>
    </row>
    <row r="23" ht="23.25" customHeight="1">
      <c r="A23" s="39"/>
      <c r="B23" s="39" t="str">
        <f t="shared" ref="B23:B50" si="11">IF(A23="","","、")</f>
        <v/>
      </c>
      <c r="C23" s="40"/>
      <c r="D23" s="40" t="str">
        <f t="shared" ref="D23:D50" si="12">IF(C23="","","、")</f>
        <v/>
      </c>
      <c r="E23" s="39"/>
      <c r="F23" s="39" t="str">
        <f t="shared" ref="F23:F50" si="13">IF(E23="","","、")</f>
        <v/>
      </c>
      <c r="G23" s="40"/>
      <c r="H23" s="40" t="str">
        <f t="shared" ref="H23:H50" si="14">IF(G23="","","、")</f>
        <v/>
      </c>
      <c r="I23" s="39"/>
      <c r="J23" s="39" t="str">
        <f t="shared" ref="J23:J50" si="15">IF(I23="","","、")</f>
        <v/>
      </c>
      <c r="K23" s="40"/>
      <c r="L23" s="40" t="str">
        <f t="shared" ref="L23:L50" si="16">IF(K23="","","、")</f>
        <v/>
      </c>
      <c r="M23" s="39"/>
      <c r="N23" s="39" t="str">
        <f t="shared" ref="N23:N50" si="17">IF(M23="","","、")</f>
        <v/>
      </c>
      <c r="O23" s="40"/>
      <c r="P23" s="40" t="str">
        <f t="shared" ref="P23:P50" si="18">IF(O23="","","、")</f>
        <v/>
      </c>
      <c r="Q23" s="39"/>
      <c r="R23" s="39" t="str">
        <f t="shared" si="9"/>
        <v/>
      </c>
      <c r="S23" s="40"/>
      <c r="T23" s="40" t="str">
        <f t="shared" ref="T23:T50" si="19">IF(S23="","","、")</f>
        <v/>
      </c>
    </row>
    <row r="24" ht="23.25" customHeight="1">
      <c r="A24" s="39"/>
      <c r="B24" s="39" t="str">
        <f t="shared" si="11"/>
        <v/>
      </c>
      <c r="C24" s="40"/>
      <c r="D24" s="40" t="str">
        <f t="shared" si="12"/>
        <v/>
      </c>
      <c r="E24" s="39"/>
      <c r="F24" s="39" t="str">
        <f t="shared" si="13"/>
        <v/>
      </c>
      <c r="G24" s="40"/>
      <c r="H24" s="40" t="str">
        <f t="shared" si="14"/>
        <v/>
      </c>
      <c r="I24" s="39"/>
      <c r="J24" s="39" t="str">
        <f t="shared" si="15"/>
        <v/>
      </c>
      <c r="K24" s="40"/>
      <c r="L24" s="40" t="str">
        <f t="shared" si="16"/>
        <v/>
      </c>
      <c r="M24" s="39"/>
      <c r="N24" s="39" t="str">
        <f t="shared" si="17"/>
        <v/>
      </c>
      <c r="O24" s="40"/>
      <c r="P24" s="40" t="str">
        <f t="shared" si="18"/>
        <v/>
      </c>
      <c r="Q24" s="39"/>
      <c r="R24" s="39" t="str">
        <f t="shared" si="9"/>
        <v/>
      </c>
      <c r="S24" s="40"/>
      <c r="T24" s="40" t="str">
        <f t="shared" si="19"/>
        <v/>
      </c>
    </row>
    <row r="25" ht="23.25" customHeight="1">
      <c r="A25" s="39"/>
      <c r="B25" s="39" t="str">
        <f t="shared" si="11"/>
        <v/>
      </c>
      <c r="C25" s="40"/>
      <c r="D25" s="40" t="str">
        <f t="shared" si="12"/>
        <v/>
      </c>
      <c r="E25" s="39"/>
      <c r="F25" s="39" t="str">
        <f t="shared" si="13"/>
        <v/>
      </c>
      <c r="G25" s="40"/>
      <c r="H25" s="40" t="str">
        <f t="shared" si="14"/>
        <v/>
      </c>
      <c r="I25" s="39"/>
      <c r="J25" s="39" t="str">
        <f t="shared" si="15"/>
        <v/>
      </c>
      <c r="K25" s="40"/>
      <c r="L25" s="40" t="str">
        <f t="shared" si="16"/>
        <v/>
      </c>
      <c r="M25" s="39"/>
      <c r="N25" s="39" t="str">
        <f t="shared" si="17"/>
        <v/>
      </c>
      <c r="O25" s="40"/>
      <c r="P25" s="40" t="str">
        <f t="shared" si="18"/>
        <v/>
      </c>
      <c r="Q25" s="39"/>
      <c r="R25" s="39" t="str">
        <f t="shared" si="9"/>
        <v/>
      </c>
      <c r="S25" s="40"/>
      <c r="T25" s="40" t="str">
        <f t="shared" si="19"/>
        <v/>
      </c>
    </row>
    <row r="26" ht="23.25" customHeight="1">
      <c r="A26" s="39"/>
      <c r="B26" s="39" t="str">
        <f t="shared" si="11"/>
        <v/>
      </c>
      <c r="C26" s="40"/>
      <c r="D26" s="40" t="str">
        <f t="shared" si="12"/>
        <v/>
      </c>
      <c r="E26" s="39"/>
      <c r="F26" s="39" t="str">
        <f t="shared" si="13"/>
        <v/>
      </c>
      <c r="G26" s="40"/>
      <c r="H26" s="40" t="str">
        <f t="shared" si="14"/>
        <v/>
      </c>
      <c r="I26" s="39"/>
      <c r="J26" s="39" t="str">
        <f t="shared" si="15"/>
        <v/>
      </c>
      <c r="K26" s="40"/>
      <c r="L26" s="40" t="str">
        <f t="shared" si="16"/>
        <v/>
      </c>
      <c r="M26" s="39"/>
      <c r="N26" s="39" t="str">
        <f t="shared" si="17"/>
        <v/>
      </c>
      <c r="O26" s="40"/>
      <c r="P26" s="40" t="str">
        <f t="shared" si="18"/>
        <v/>
      </c>
      <c r="Q26" s="39"/>
      <c r="R26" s="39" t="str">
        <f t="shared" si="9"/>
        <v/>
      </c>
      <c r="S26" s="40"/>
      <c r="T26" s="40" t="str">
        <f t="shared" si="19"/>
        <v/>
      </c>
    </row>
    <row r="27" ht="23.25" customHeight="1">
      <c r="A27" s="39"/>
      <c r="B27" s="39" t="str">
        <f t="shared" si="11"/>
        <v/>
      </c>
      <c r="C27" s="40"/>
      <c r="D27" s="40" t="str">
        <f t="shared" si="12"/>
        <v/>
      </c>
      <c r="E27" s="39"/>
      <c r="F27" s="39" t="str">
        <f t="shared" si="13"/>
        <v/>
      </c>
      <c r="G27" s="40"/>
      <c r="H27" s="40" t="str">
        <f t="shared" si="14"/>
        <v/>
      </c>
      <c r="I27" s="39"/>
      <c r="J27" s="39" t="str">
        <f t="shared" si="15"/>
        <v/>
      </c>
      <c r="K27" s="40"/>
      <c r="L27" s="40" t="str">
        <f t="shared" si="16"/>
        <v/>
      </c>
      <c r="M27" s="39"/>
      <c r="N27" s="39" t="str">
        <f t="shared" si="17"/>
        <v/>
      </c>
      <c r="O27" s="40"/>
      <c r="P27" s="40" t="str">
        <f t="shared" si="18"/>
        <v/>
      </c>
      <c r="Q27" s="39"/>
      <c r="R27" s="39" t="str">
        <f t="shared" si="9"/>
        <v/>
      </c>
      <c r="S27" s="40"/>
      <c r="T27" s="40" t="str">
        <f t="shared" si="19"/>
        <v/>
      </c>
    </row>
    <row r="28" ht="23.25" customHeight="1">
      <c r="A28" s="39"/>
      <c r="B28" s="39" t="str">
        <f t="shared" si="11"/>
        <v/>
      </c>
      <c r="C28" s="40"/>
      <c r="D28" s="40" t="str">
        <f t="shared" si="12"/>
        <v/>
      </c>
      <c r="E28" s="39"/>
      <c r="F28" s="39" t="str">
        <f t="shared" si="13"/>
        <v/>
      </c>
      <c r="G28" s="40"/>
      <c r="H28" s="40" t="str">
        <f t="shared" si="14"/>
        <v/>
      </c>
      <c r="I28" s="39"/>
      <c r="J28" s="39" t="str">
        <f t="shared" si="15"/>
        <v/>
      </c>
      <c r="K28" s="40"/>
      <c r="L28" s="40" t="str">
        <f t="shared" si="16"/>
        <v/>
      </c>
      <c r="M28" s="39"/>
      <c r="N28" s="39" t="str">
        <f t="shared" si="17"/>
        <v/>
      </c>
      <c r="O28" s="40"/>
      <c r="P28" s="40" t="str">
        <f t="shared" si="18"/>
        <v/>
      </c>
      <c r="Q28" s="39"/>
      <c r="R28" s="39" t="str">
        <f t="shared" si="9"/>
        <v/>
      </c>
      <c r="S28" s="40"/>
      <c r="T28" s="40" t="str">
        <f t="shared" si="19"/>
        <v/>
      </c>
    </row>
    <row r="29" ht="23.25" customHeight="1">
      <c r="A29" s="39"/>
      <c r="B29" s="39" t="str">
        <f t="shared" si="11"/>
        <v/>
      </c>
      <c r="C29" s="40"/>
      <c r="D29" s="40" t="str">
        <f t="shared" si="12"/>
        <v/>
      </c>
      <c r="E29" s="39"/>
      <c r="F29" s="39" t="str">
        <f t="shared" si="13"/>
        <v/>
      </c>
      <c r="G29" s="40"/>
      <c r="H29" s="40" t="str">
        <f t="shared" si="14"/>
        <v/>
      </c>
      <c r="I29" s="39"/>
      <c r="J29" s="39" t="str">
        <f t="shared" si="15"/>
        <v/>
      </c>
      <c r="K29" s="40"/>
      <c r="L29" s="40" t="str">
        <f t="shared" si="16"/>
        <v/>
      </c>
      <c r="M29" s="39"/>
      <c r="N29" s="39" t="str">
        <f t="shared" si="17"/>
        <v/>
      </c>
      <c r="O29" s="40"/>
      <c r="P29" s="40" t="str">
        <f t="shared" si="18"/>
        <v/>
      </c>
      <c r="Q29" s="39"/>
      <c r="R29" s="39" t="str">
        <f t="shared" si="9"/>
        <v/>
      </c>
      <c r="S29" s="40"/>
      <c r="T29" s="40" t="str">
        <f t="shared" si="19"/>
        <v/>
      </c>
    </row>
    <row r="30" ht="23.25" customHeight="1">
      <c r="A30" s="39"/>
      <c r="B30" s="39" t="str">
        <f t="shared" si="11"/>
        <v/>
      </c>
      <c r="C30" s="40"/>
      <c r="D30" s="40" t="str">
        <f t="shared" si="12"/>
        <v/>
      </c>
      <c r="E30" s="39"/>
      <c r="F30" s="39" t="str">
        <f t="shared" si="13"/>
        <v/>
      </c>
      <c r="G30" s="40"/>
      <c r="H30" s="40" t="str">
        <f t="shared" si="14"/>
        <v/>
      </c>
      <c r="I30" s="39"/>
      <c r="J30" s="39" t="str">
        <f t="shared" si="15"/>
        <v/>
      </c>
      <c r="K30" s="40"/>
      <c r="L30" s="40" t="str">
        <f t="shared" si="16"/>
        <v/>
      </c>
      <c r="M30" s="39"/>
      <c r="N30" s="39" t="str">
        <f t="shared" si="17"/>
        <v/>
      </c>
      <c r="O30" s="40"/>
      <c r="P30" s="40" t="str">
        <f t="shared" si="18"/>
        <v/>
      </c>
      <c r="Q30" s="39"/>
      <c r="R30" s="39" t="str">
        <f t="shared" si="9"/>
        <v/>
      </c>
      <c r="S30" s="40"/>
      <c r="T30" s="40" t="str">
        <f t="shared" si="19"/>
        <v/>
      </c>
    </row>
    <row r="31" ht="23.25" customHeight="1">
      <c r="A31" s="39"/>
      <c r="B31" s="39" t="str">
        <f t="shared" si="11"/>
        <v/>
      </c>
      <c r="C31" s="40"/>
      <c r="D31" s="40" t="str">
        <f t="shared" si="12"/>
        <v/>
      </c>
      <c r="E31" s="39"/>
      <c r="F31" s="39" t="str">
        <f t="shared" si="13"/>
        <v/>
      </c>
      <c r="G31" s="40"/>
      <c r="H31" s="40" t="str">
        <f t="shared" si="14"/>
        <v/>
      </c>
      <c r="I31" s="39"/>
      <c r="J31" s="39" t="str">
        <f t="shared" si="15"/>
        <v/>
      </c>
      <c r="K31" s="40"/>
      <c r="L31" s="40" t="str">
        <f t="shared" si="16"/>
        <v/>
      </c>
      <c r="M31" s="39"/>
      <c r="N31" s="39" t="str">
        <f t="shared" si="17"/>
        <v/>
      </c>
      <c r="O31" s="40"/>
      <c r="P31" s="40" t="str">
        <f t="shared" si="18"/>
        <v/>
      </c>
      <c r="Q31" s="39"/>
      <c r="R31" s="39" t="str">
        <f t="shared" si="9"/>
        <v/>
      </c>
      <c r="S31" s="40"/>
      <c r="T31" s="40" t="str">
        <f t="shared" si="19"/>
        <v/>
      </c>
    </row>
    <row r="32" ht="23.25" customHeight="1">
      <c r="A32" s="39"/>
      <c r="B32" s="39" t="str">
        <f t="shared" si="11"/>
        <v/>
      </c>
      <c r="C32" s="40"/>
      <c r="D32" s="40" t="str">
        <f t="shared" si="12"/>
        <v/>
      </c>
      <c r="E32" s="39"/>
      <c r="F32" s="39" t="str">
        <f t="shared" si="13"/>
        <v/>
      </c>
      <c r="G32" s="40"/>
      <c r="H32" s="40" t="str">
        <f t="shared" si="14"/>
        <v/>
      </c>
      <c r="I32" s="39"/>
      <c r="J32" s="39" t="str">
        <f t="shared" si="15"/>
        <v/>
      </c>
      <c r="K32" s="40"/>
      <c r="L32" s="40" t="str">
        <f t="shared" si="16"/>
        <v/>
      </c>
      <c r="M32" s="39"/>
      <c r="N32" s="39" t="str">
        <f t="shared" si="17"/>
        <v/>
      </c>
      <c r="O32" s="40"/>
      <c r="P32" s="40" t="str">
        <f t="shared" si="18"/>
        <v/>
      </c>
      <c r="Q32" s="39"/>
      <c r="R32" s="39" t="str">
        <f t="shared" si="9"/>
        <v/>
      </c>
      <c r="S32" s="40"/>
      <c r="T32" s="40" t="str">
        <f t="shared" si="19"/>
        <v/>
      </c>
    </row>
    <row r="33" ht="23.25" customHeight="1">
      <c r="A33" s="39"/>
      <c r="B33" s="39" t="str">
        <f t="shared" si="11"/>
        <v/>
      </c>
      <c r="C33" s="40"/>
      <c r="D33" s="40" t="str">
        <f t="shared" si="12"/>
        <v/>
      </c>
      <c r="E33" s="39"/>
      <c r="F33" s="39" t="str">
        <f t="shared" si="13"/>
        <v/>
      </c>
      <c r="G33" s="40"/>
      <c r="H33" s="40" t="str">
        <f t="shared" si="14"/>
        <v/>
      </c>
      <c r="I33" s="39"/>
      <c r="J33" s="39" t="str">
        <f t="shared" si="15"/>
        <v/>
      </c>
      <c r="K33" s="40"/>
      <c r="L33" s="40" t="str">
        <f t="shared" si="16"/>
        <v/>
      </c>
      <c r="M33" s="39"/>
      <c r="N33" s="39" t="str">
        <f t="shared" si="17"/>
        <v/>
      </c>
      <c r="O33" s="40"/>
      <c r="P33" s="40" t="str">
        <f t="shared" si="18"/>
        <v/>
      </c>
      <c r="Q33" s="39"/>
      <c r="R33" s="39" t="str">
        <f t="shared" si="9"/>
        <v/>
      </c>
      <c r="S33" s="40"/>
      <c r="T33" s="40" t="str">
        <f t="shared" si="19"/>
        <v/>
      </c>
    </row>
    <row r="34" ht="23.25" customHeight="1">
      <c r="A34" s="39"/>
      <c r="B34" s="39" t="str">
        <f t="shared" si="11"/>
        <v/>
      </c>
      <c r="C34" s="40"/>
      <c r="D34" s="40" t="str">
        <f t="shared" si="12"/>
        <v/>
      </c>
      <c r="E34" s="39"/>
      <c r="F34" s="39" t="str">
        <f t="shared" si="13"/>
        <v/>
      </c>
      <c r="G34" s="40"/>
      <c r="H34" s="40" t="str">
        <f t="shared" si="14"/>
        <v/>
      </c>
      <c r="I34" s="39"/>
      <c r="J34" s="39" t="str">
        <f t="shared" si="15"/>
        <v/>
      </c>
      <c r="K34" s="40"/>
      <c r="L34" s="40" t="str">
        <f t="shared" si="16"/>
        <v/>
      </c>
      <c r="M34" s="39"/>
      <c r="N34" s="39" t="str">
        <f t="shared" si="17"/>
        <v/>
      </c>
      <c r="O34" s="40"/>
      <c r="P34" s="40" t="str">
        <f t="shared" si="18"/>
        <v/>
      </c>
      <c r="Q34" s="39"/>
      <c r="R34" s="39" t="str">
        <f t="shared" si="9"/>
        <v/>
      </c>
      <c r="S34" s="40"/>
      <c r="T34" s="40" t="str">
        <f t="shared" si="19"/>
        <v/>
      </c>
    </row>
    <row r="35" ht="23.25" customHeight="1">
      <c r="A35" s="39"/>
      <c r="B35" s="39" t="str">
        <f t="shared" si="11"/>
        <v/>
      </c>
      <c r="C35" s="40"/>
      <c r="D35" s="40" t="str">
        <f t="shared" si="12"/>
        <v/>
      </c>
      <c r="E35" s="39"/>
      <c r="F35" s="39" t="str">
        <f t="shared" si="13"/>
        <v/>
      </c>
      <c r="G35" s="40"/>
      <c r="H35" s="40" t="str">
        <f t="shared" si="14"/>
        <v/>
      </c>
      <c r="I35" s="39"/>
      <c r="J35" s="39" t="str">
        <f t="shared" si="15"/>
        <v/>
      </c>
      <c r="K35" s="40"/>
      <c r="L35" s="40" t="str">
        <f t="shared" si="16"/>
        <v/>
      </c>
      <c r="M35" s="39"/>
      <c r="N35" s="39" t="str">
        <f t="shared" si="17"/>
        <v/>
      </c>
      <c r="O35" s="40"/>
      <c r="P35" s="40" t="str">
        <f t="shared" si="18"/>
        <v/>
      </c>
      <c r="Q35" s="39"/>
      <c r="R35" s="39" t="str">
        <f t="shared" si="9"/>
        <v/>
      </c>
      <c r="S35" s="40"/>
      <c r="T35" s="40" t="str">
        <f t="shared" si="19"/>
        <v/>
      </c>
    </row>
    <row r="36" ht="23.25" customHeight="1">
      <c r="A36" s="39"/>
      <c r="B36" s="39" t="str">
        <f t="shared" si="11"/>
        <v/>
      </c>
      <c r="C36" s="40"/>
      <c r="D36" s="40" t="str">
        <f t="shared" si="12"/>
        <v/>
      </c>
      <c r="E36" s="39"/>
      <c r="F36" s="39" t="str">
        <f t="shared" si="13"/>
        <v/>
      </c>
      <c r="G36" s="40"/>
      <c r="H36" s="40" t="str">
        <f t="shared" si="14"/>
        <v/>
      </c>
      <c r="I36" s="39"/>
      <c r="J36" s="39" t="str">
        <f t="shared" si="15"/>
        <v/>
      </c>
      <c r="K36" s="40"/>
      <c r="L36" s="40" t="str">
        <f t="shared" si="16"/>
        <v/>
      </c>
      <c r="M36" s="39"/>
      <c r="N36" s="39" t="str">
        <f t="shared" si="17"/>
        <v/>
      </c>
      <c r="O36" s="40"/>
      <c r="P36" s="40" t="str">
        <f t="shared" si="18"/>
        <v/>
      </c>
      <c r="Q36" s="39"/>
      <c r="R36" s="39" t="str">
        <f t="shared" si="9"/>
        <v/>
      </c>
      <c r="S36" s="40"/>
      <c r="T36" s="40" t="str">
        <f t="shared" si="19"/>
        <v/>
      </c>
    </row>
    <row r="37" ht="23.25" customHeight="1">
      <c r="A37" s="39"/>
      <c r="B37" s="39" t="str">
        <f t="shared" si="11"/>
        <v/>
      </c>
      <c r="C37" s="40"/>
      <c r="D37" s="40" t="str">
        <f t="shared" si="12"/>
        <v/>
      </c>
      <c r="E37" s="39"/>
      <c r="F37" s="39" t="str">
        <f t="shared" si="13"/>
        <v/>
      </c>
      <c r="G37" s="40"/>
      <c r="H37" s="40" t="str">
        <f t="shared" si="14"/>
        <v/>
      </c>
      <c r="I37" s="39"/>
      <c r="J37" s="39" t="str">
        <f t="shared" si="15"/>
        <v/>
      </c>
      <c r="K37" s="40"/>
      <c r="L37" s="40" t="str">
        <f t="shared" si="16"/>
        <v/>
      </c>
      <c r="M37" s="39"/>
      <c r="N37" s="39" t="str">
        <f t="shared" si="17"/>
        <v/>
      </c>
      <c r="O37" s="40"/>
      <c r="P37" s="40" t="str">
        <f t="shared" si="18"/>
        <v/>
      </c>
      <c r="Q37" s="39"/>
      <c r="R37" s="39" t="str">
        <f t="shared" si="9"/>
        <v/>
      </c>
      <c r="S37" s="40"/>
      <c r="T37" s="40" t="str">
        <f t="shared" si="19"/>
        <v/>
      </c>
    </row>
    <row r="38" ht="23.25" customHeight="1">
      <c r="A38" s="39"/>
      <c r="B38" s="39" t="str">
        <f t="shared" si="11"/>
        <v/>
      </c>
      <c r="C38" s="40"/>
      <c r="D38" s="40" t="str">
        <f t="shared" si="12"/>
        <v/>
      </c>
      <c r="E38" s="39"/>
      <c r="F38" s="39" t="str">
        <f t="shared" si="13"/>
        <v/>
      </c>
      <c r="G38" s="40"/>
      <c r="H38" s="40" t="str">
        <f t="shared" si="14"/>
        <v/>
      </c>
      <c r="I38" s="39"/>
      <c r="J38" s="39" t="str">
        <f t="shared" si="15"/>
        <v/>
      </c>
      <c r="K38" s="40"/>
      <c r="L38" s="40" t="str">
        <f t="shared" si="16"/>
        <v/>
      </c>
      <c r="M38" s="39"/>
      <c r="N38" s="39" t="str">
        <f t="shared" si="17"/>
        <v/>
      </c>
      <c r="O38" s="40"/>
      <c r="P38" s="40" t="str">
        <f t="shared" si="18"/>
        <v/>
      </c>
      <c r="Q38" s="39"/>
      <c r="R38" s="39" t="str">
        <f t="shared" si="9"/>
        <v/>
      </c>
      <c r="S38" s="40"/>
      <c r="T38" s="40" t="str">
        <f t="shared" si="19"/>
        <v/>
      </c>
    </row>
    <row r="39" ht="23.25" customHeight="1">
      <c r="A39" s="39"/>
      <c r="B39" s="39" t="str">
        <f t="shared" si="11"/>
        <v/>
      </c>
      <c r="C39" s="40"/>
      <c r="D39" s="40" t="str">
        <f t="shared" si="12"/>
        <v/>
      </c>
      <c r="E39" s="39"/>
      <c r="F39" s="39" t="str">
        <f t="shared" si="13"/>
        <v/>
      </c>
      <c r="G39" s="40"/>
      <c r="H39" s="40" t="str">
        <f t="shared" si="14"/>
        <v/>
      </c>
      <c r="I39" s="39"/>
      <c r="J39" s="39" t="str">
        <f t="shared" si="15"/>
        <v/>
      </c>
      <c r="K39" s="40"/>
      <c r="L39" s="40" t="str">
        <f t="shared" si="16"/>
        <v/>
      </c>
      <c r="M39" s="39"/>
      <c r="N39" s="39" t="str">
        <f t="shared" si="17"/>
        <v/>
      </c>
      <c r="O39" s="40"/>
      <c r="P39" s="40" t="str">
        <f t="shared" si="18"/>
        <v/>
      </c>
      <c r="Q39" s="39"/>
      <c r="R39" s="39" t="str">
        <f t="shared" si="9"/>
        <v/>
      </c>
      <c r="S39" s="40"/>
      <c r="T39" s="40" t="str">
        <f t="shared" si="19"/>
        <v/>
      </c>
    </row>
    <row r="40" ht="23.25" customHeight="1">
      <c r="A40" s="39"/>
      <c r="B40" s="39" t="str">
        <f t="shared" si="11"/>
        <v/>
      </c>
      <c r="C40" s="40"/>
      <c r="D40" s="40" t="str">
        <f t="shared" si="12"/>
        <v/>
      </c>
      <c r="E40" s="39"/>
      <c r="F40" s="39" t="str">
        <f t="shared" si="13"/>
        <v/>
      </c>
      <c r="G40" s="40"/>
      <c r="H40" s="40" t="str">
        <f t="shared" si="14"/>
        <v/>
      </c>
      <c r="I40" s="39"/>
      <c r="J40" s="39" t="str">
        <f t="shared" si="15"/>
        <v/>
      </c>
      <c r="K40" s="40"/>
      <c r="L40" s="40" t="str">
        <f t="shared" si="16"/>
        <v/>
      </c>
      <c r="M40" s="39"/>
      <c r="N40" s="39" t="str">
        <f t="shared" si="17"/>
        <v/>
      </c>
      <c r="O40" s="40"/>
      <c r="P40" s="40" t="str">
        <f t="shared" si="18"/>
        <v/>
      </c>
      <c r="Q40" s="39"/>
      <c r="R40" s="39" t="str">
        <f t="shared" si="9"/>
        <v/>
      </c>
      <c r="S40" s="40"/>
      <c r="T40" s="40" t="str">
        <f t="shared" si="19"/>
        <v/>
      </c>
    </row>
    <row r="41" ht="23.25" customHeight="1">
      <c r="A41" s="39"/>
      <c r="B41" s="39" t="str">
        <f t="shared" si="11"/>
        <v/>
      </c>
      <c r="C41" s="40"/>
      <c r="D41" s="40" t="str">
        <f t="shared" si="12"/>
        <v/>
      </c>
      <c r="E41" s="39"/>
      <c r="F41" s="39" t="str">
        <f t="shared" si="13"/>
        <v/>
      </c>
      <c r="G41" s="40"/>
      <c r="H41" s="40" t="str">
        <f t="shared" si="14"/>
        <v/>
      </c>
      <c r="I41" s="39"/>
      <c r="J41" s="39" t="str">
        <f t="shared" si="15"/>
        <v/>
      </c>
      <c r="K41" s="40"/>
      <c r="L41" s="40" t="str">
        <f t="shared" si="16"/>
        <v/>
      </c>
      <c r="M41" s="39"/>
      <c r="N41" s="39" t="str">
        <f t="shared" si="17"/>
        <v/>
      </c>
      <c r="O41" s="40"/>
      <c r="P41" s="40" t="str">
        <f t="shared" si="18"/>
        <v/>
      </c>
      <c r="Q41" s="39"/>
      <c r="R41" s="39" t="str">
        <f t="shared" si="9"/>
        <v/>
      </c>
      <c r="S41" s="40"/>
      <c r="T41" s="40" t="str">
        <f t="shared" si="19"/>
        <v/>
      </c>
    </row>
    <row r="42" ht="23.25" customHeight="1">
      <c r="A42" s="39"/>
      <c r="B42" s="39" t="str">
        <f t="shared" si="11"/>
        <v/>
      </c>
      <c r="C42" s="40"/>
      <c r="D42" s="40" t="str">
        <f t="shared" si="12"/>
        <v/>
      </c>
      <c r="E42" s="39"/>
      <c r="F42" s="39" t="str">
        <f t="shared" si="13"/>
        <v/>
      </c>
      <c r="G42" s="40"/>
      <c r="H42" s="40" t="str">
        <f t="shared" si="14"/>
        <v/>
      </c>
      <c r="I42" s="39"/>
      <c r="J42" s="39" t="str">
        <f t="shared" si="15"/>
        <v/>
      </c>
      <c r="K42" s="40"/>
      <c r="L42" s="40" t="str">
        <f t="shared" si="16"/>
        <v/>
      </c>
      <c r="M42" s="39"/>
      <c r="N42" s="39" t="str">
        <f t="shared" si="17"/>
        <v/>
      </c>
      <c r="O42" s="40"/>
      <c r="P42" s="40" t="str">
        <f t="shared" si="18"/>
        <v/>
      </c>
      <c r="Q42" s="39"/>
      <c r="R42" s="39" t="str">
        <f t="shared" si="9"/>
        <v/>
      </c>
      <c r="S42" s="40"/>
      <c r="T42" s="40" t="str">
        <f t="shared" si="19"/>
        <v/>
      </c>
    </row>
    <row r="43" ht="23.25" customHeight="1">
      <c r="A43" s="39"/>
      <c r="B43" s="39" t="str">
        <f t="shared" si="11"/>
        <v/>
      </c>
      <c r="C43" s="40"/>
      <c r="D43" s="40" t="str">
        <f t="shared" si="12"/>
        <v/>
      </c>
      <c r="E43" s="39"/>
      <c r="F43" s="39" t="str">
        <f t="shared" si="13"/>
        <v/>
      </c>
      <c r="G43" s="40"/>
      <c r="H43" s="40" t="str">
        <f t="shared" si="14"/>
        <v/>
      </c>
      <c r="I43" s="39"/>
      <c r="J43" s="39" t="str">
        <f t="shared" si="15"/>
        <v/>
      </c>
      <c r="K43" s="40"/>
      <c r="L43" s="40" t="str">
        <f t="shared" si="16"/>
        <v/>
      </c>
      <c r="M43" s="39"/>
      <c r="N43" s="39" t="str">
        <f t="shared" si="17"/>
        <v/>
      </c>
      <c r="O43" s="40"/>
      <c r="P43" s="40" t="str">
        <f t="shared" si="18"/>
        <v/>
      </c>
      <c r="Q43" s="39"/>
      <c r="R43" s="39" t="str">
        <f t="shared" si="9"/>
        <v/>
      </c>
      <c r="S43" s="40"/>
      <c r="T43" s="40" t="str">
        <f t="shared" si="19"/>
        <v/>
      </c>
    </row>
    <row r="44" ht="23.25" customHeight="1">
      <c r="A44" s="39"/>
      <c r="B44" s="39" t="str">
        <f t="shared" si="11"/>
        <v/>
      </c>
      <c r="C44" s="40"/>
      <c r="D44" s="40" t="str">
        <f t="shared" si="12"/>
        <v/>
      </c>
      <c r="E44" s="39"/>
      <c r="F44" s="39" t="str">
        <f t="shared" si="13"/>
        <v/>
      </c>
      <c r="G44" s="40"/>
      <c r="H44" s="40" t="str">
        <f t="shared" si="14"/>
        <v/>
      </c>
      <c r="I44" s="39"/>
      <c r="J44" s="39" t="str">
        <f t="shared" si="15"/>
        <v/>
      </c>
      <c r="K44" s="40"/>
      <c r="L44" s="40" t="str">
        <f t="shared" si="16"/>
        <v/>
      </c>
      <c r="M44" s="39"/>
      <c r="N44" s="39" t="str">
        <f t="shared" si="17"/>
        <v/>
      </c>
      <c r="O44" s="40"/>
      <c r="P44" s="40" t="str">
        <f t="shared" si="18"/>
        <v/>
      </c>
      <c r="Q44" s="39"/>
      <c r="R44" s="39" t="str">
        <f t="shared" si="9"/>
        <v/>
      </c>
      <c r="S44" s="40"/>
      <c r="T44" s="40" t="str">
        <f t="shared" si="19"/>
        <v/>
      </c>
    </row>
    <row r="45" ht="23.25" customHeight="1">
      <c r="A45" s="39"/>
      <c r="B45" s="39" t="str">
        <f t="shared" si="11"/>
        <v/>
      </c>
      <c r="C45" s="40"/>
      <c r="D45" s="40" t="str">
        <f t="shared" si="12"/>
        <v/>
      </c>
      <c r="E45" s="39"/>
      <c r="F45" s="39" t="str">
        <f t="shared" si="13"/>
        <v/>
      </c>
      <c r="G45" s="40"/>
      <c r="H45" s="40" t="str">
        <f t="shared" si="14"/>
        <v/>
      </c>
      <c r="I45" s="39"/>
      <c r="J45" s="39" t="str">
        <f t="shared" si="15"/>
        <v/>
      </c>
      <c r="K45" s="40"/>
      <c r="L45" s="40" t="str">
        <f t="shared" si="16"/>
        <v/>
      </c>
      <c r="M45" s="39"/>
      <c r="N45" s="39" t="str">
        <f t="shared" si="17"/>
        <v/>
      </c>
      <c r="O45" s="40"/>
      <c r="P45" s="40" t="str">
        <f t="shared" si="18"/>
        <v/>
      </c>
      <c r="Q45" s="39"/>
      <c r="R45" s="39" t="str">
        <f t="shared" si="9"/>
        <v/>
      </c>
      <c r="S45" s="40"/>
      <c r="T45" s="40" t="str">
        <f t="shared" si="19"/>
        <v/>
      </c>
    </row>
    <row r="46" ht="23.25" customHeight="1">
      <c r="A46" s="39"/>
      <c r="B46" s="39" t="str">
        <f t="shared" si="11"/>
        <v/>
      </c>
      <c r="C46" s="40"/>
      <c r="D46" s="40" t="str">
        <f t="shared" si="12"/>
        <v/>
      </c>
      <c r="E46" s="39"/>
      <c r="F46" s="39" t="str">
        <f t="shared" si="13"/>
        <v/>
      </c>
      <c r="G46" s="40"/>
      <c r="H46" s="40" t="str">
        <f t="shared" si="14"/>
        <v/>
      </c>
      <c r="I46" s="39"/>
      <c r="J46" s="39" t="str">
        <f t="shared" si="15"/>
        <v/>
      </c>
      <c r="K46" s="40"/>
      <c r="L46" s="40" t="str">
        <f t="shared" si="16"/>
        <v/>
      </c>
      <c r="M46" s="39"/>
      <c r="N46" s="39" t="str">
        <f t="shared" si="17"/>
        <v/>
      </c>
      <c r="O46" s="40"/>
      <c r="P46" s="40" t="str">
        <f t="shared" si="18"/>
        <v/>
      </c>
      <c r="Q46" s="39"/>
      <c r="R46" s="39" t="str">
        <f t="shared" si="9"/>
        <v/>
      </c>
      <c r="S46" s="40"/>
      <c r="T46" s="40" t="str">
        <f t="shared" si="19"/>
        <v/>
      </c>
    </row>
    <row r="47" ht="23.25" customHeight="1">
      <c r="A47" s="39"/>
      <c r="B47" s="39" t="str">
        <f t="shared" si="11"/>
        <v/>
      </c>
      <c r="C47" s="40"/>
      <c r="D47" s="40" t="str">
        <f t="shared" si="12"/>
        <v/>
      </c>
      <c r="E47" s="39"/>
      <c r="F47" s="39" t="str">
        <f t="shared" si="13"/>
        <v/>
      </c>
      <c r="G47" s="40"/>
      <c r="H47" s="40" t="str">
        <f t="shared" si="14"/>
        <v/>
      </c>
      <c r="I47" s="39"/>
      <c r="J47" s="39" t="str">
        <f t="shared" si="15"/>
        <v/>
      </c>
      <c r="K47" s="40"/>
      <c r="L47" s="40" t="str">
        <f t="shared" si="16"/>
        <v/>
      </c>
      <c r="M47" s="39"/>
      <c r="N47" s="39" t="str">
        <f t="shared" si="17"/>
        <v/>
      </c>
      <c r="O47" s="40"/>
      <c r="P47" s="40" t="str">
        <f t="shared" si="18"/>
        <v/>
      </c>
      <c r="Q47" s="39"/>
      <c r="R47" s="39" t="str">
        <f t="shared" si="9"/>
        <v/>
      </c>
      <c r="S47" s="40"/>
      <c r="T47" s="40" t="str">
        <f t="shared" si="19"/>
        <v/>
      </c>
    </row>
    <row r="48" ht="23.25" customHeight="1">
      <c r="A48" s="39"/>
      <c r="B48" s="39" t="str">
        <f t="shared" si="11"/>
        <v/>
      </c>
      <c r="C48" s="40"/>
      <c r="D48" s="40" t="str">
        <f t="shared" si="12"/>
        <v/>
      </c>
      <c r="E48" s="39"/>
      <c r="F48" s="39" t="str">
        <f t="shared" si="13"/>
        <v/>
      </c>
      <c r="G48" s="40"/>
      <c r="H48" s="40" t="str">
        <f t="shared" si="14"/>
        <v/>
      </c>
      <c r="I48" s="39"/>
      <c r="J48" s="39" t="str">
        <f t="shared" si="15"/>
        <v/>
      </c>
      <c r="K48" s="40"/>
      <c r="L48" s="40" t="str">
        <f t="shared" si="16"/>
        <v/>
      </c>
      <c r="M48" s="39"/>
      <c r="N48" s="39" t="str">
        <f t="shared" si="17"/>
        <v/>
      </c>
      <c r="O48" s="40"/>
      <c r="P48" s="40" t="str">
        <f t="shared" si="18"/>
        <v/>
      </c>
      <c r="Q48" s="39"/>
      <c r="R48" s="39" t="str">
        <f t="shared" si="9"/>
        <v/>
      </c>
      <c r="S48" s="40"/>
      <c r="T48" s="40" t="str">
        <f t="shared" si="19"/>
        <v/>
      </c>
    </row>
    <row r="49" ht="23.25" customHeight="1">
      <c r="A49" s="39"/>
      <c r="B49" s="39" t="str">
        <f t="shared" si="11"/>
        <v/>
      </c>
      <c r="C49" s="40"/>
      <c r="D49" s="40" t="str">
        <f t="shared" si="12"/>
        <v/>
      </c>
      <c r="E49" s="39"/>
      <c r="F49" s="39" t="str">
        <f t="shared" si="13"/>
        <v/>
      </c>
      <c r="G49" s="40"/>
      <c r="H49" s="40" t="str">
        <f t="shared" si="14"/>
        <v/>
      </c>
      <c r="I49" s="39"/>
      <c r="J49" s="39" t="str">
        <f t="shared" si="15"/>
        <v/>
      </c>
      <c r="K49" s="40"/>
      <c r="L49" s="40" t="str">
        <f t="shared" si="16"/>
        <v/>
      </c>
      <c r="M49" s="39"/>
      <c r="N49" s="39" t="str">
        <f t="shared" si="17"/>
        <v/>
      </c>
      <c r="O49" s="40"/>
      <c r="P49" s="40" t="str">
        <f t="shared" si="18"/>
        <v/>
      </c>
      <c r="Q49" s="39"/>
      <c r="R49" s="39" t="str">
        <f t="shared" si="9"/>
        <v/>
      </c>
      <c r="S49" s="40"/>
      <c r="T49" s="40" t="str">
        <f t="shared" si="19"/>
        <v/>
      </c>
    </row>
    <row r="50" ht="23.25" customHeight="1">
      <c r="A50" s="39"/>
      <c r="B50" s="39" t="str">
        <f t="shared" si="11"/>
        <v/>
      </c>
      <c r="C50" s="40"/>
      <c r="D50" s="40" t="str">
        <f t="shared" si="12"/>
        <v/>
      </c>
      <c r="E50" s="39"/>
      <c r="F50" s="39" t="str">
        <f t="shared" si="13"/>
        <v/>
      </c>
      <c r="G50" s="40"/>
      <c r="H50" s="40" t="str">
        <f t="shared" si="14"/>
        <v/>
      </c>
      <c r="I50" s="39"/>
      <c r="J50" s="39" t="str">
        <f t="shared" si="15"/>
        <v/>
      </c>
      <c r="K50" s="40"/>
      <c r="L50" s="40" t="str">
        <f t="shared" si="16"/>
        <v/>
      </c>
      <c r="M50" s="39"/>
      <c r="N50" s="39" t="str">
        <f t="shared" si="17"/>
        <v/>
      </c>
      <c r="O50" s="40"/>
      <c r="P50" s="40" t="str">
        <f t="shared" si="18"/>
        <v/>
      </c>
      <c r="Q50" s="39"/>
      <c r="R50" s="39" t="str">
        <f t="shared" si="9"/>
        <v/>
      </c>
      <c r="S50" s="40"/>
      <c r="T50" s="40" t="str">
        <f t="shared" si="19"/>
        <v/>
      </c>
    </row>
  </sheetData>
  <mergeCells count="20"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M1:N1"/>
    <mergeCell ref="O2:P2"/>
    <mergeCell ref="Q2:R2"/>
    <mergeCell ref="S2:T2"/>
    <mergeCell ref="A2:B2"/>
    <mergeCell ref="C2:D2"/>
    <mergeCell ref="E2:F2"/>
    <mergeCell ref="G2:H2"/>
    <mergeCell ref="I2:J2"/>
    <mergeCell ref="K2:L2"/>
    <mergeCell ref="M2:N2"/>
  </mergeCells>
  <printOptions/>
  <pageMargins bottom="0.75" footer="0.0" header="0.0" left="0.7" right="0.7" top="0.75"/>
  <pageSetup orientation="landscape"/>
  <drawing r:id="rId1"/>
</worksheet>
</file>