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編號" sheetId="1" r:id="rId4"/>
    <sheet state="visible" name="數值" sheetId="2" r:id="rId5"/>
    <sheet state="visible" name="防禦合併" sheetId="3" r:id="rId6"/>
    <sheet state="visible" name="IN-案件機率總表" sheetId="4" r:id="rId7"/>
  </sheets>
  <definedNames/>
  <calcPr/>
</workbook>
</file>

<file path=xl/sharedStrings.xml><?xml version="1.0" encoding="utf-8"?>
<sst xmlns="http://schemas.openxmlformats.org/spreadsheetml/2006/main" count="1014" uniqueCount="740">
  <si>
    <t>3-1-電芯未發生熱失控</t>
  </si>
  <si>
    <t>Impact 01</t>
  </si>
  <si>
    <t>5-1-未發生電芯熱失控傳播現象</t>
  </si>
  <si>
    <t>Impact 02</t>
  </si>
  <si>
    <t>R003</t>
  </si>
  <si>
    <t>P(01)</t>
  </si>
  <si>
    <t>R006</t>
  </si>
  <si>
    <t>P(02)</t>
  </si>
  <si>
    <t>10-1-熱煙或毒性氣體未危害至儲能空間以外</t>
  </si>
  <si>
    <t>Impact 05</t>
  </si>
  <si>
    <t>4-1-通風排出裝置啟動</t>
  </si>
  <si>
    <t>6-1-未發生模組熱失控傳播現象</t>
  </si>
  <si>
    <t>Impact 03</t>
  </si>
  <si>
    <t>R014</t>
  </si>
  <si>
    <t>P(05)</t>
  </si>
  <si>
    <t>R005</t>
  </si>
  <si>
    <t>R008</t>
  </si>
  <si>
    <t>P(03)</t>
  </si>
  <si>
    <t>9-1-消防系統有效發揮冷卻作用</t>
  </si>
  <si>
    <t>5-2-發生電芯熱失控傳播現象</t>
  </si>
  <si>
    <t>7-1-未發生電池櫃熱失控傳播現象</t>
  </si>
  <si>
    <t>Impact 04</t>
  </si>
  <si>
    <t>R013</t>
  </si>
  <si>
    <t>10-2-熱煙或毒性氣體危害至儲能空間以外</t>
  </si>
  <si>
    <t>Impact 06</t>
  </si>
  <si>
    <t>R007</t>
  </si>
  <si>
    <t>R010</t>
  </si>
  <si>
    <t>P(04)</t>
  </si>
  <si>
    <t>R015</t>
  </si>
  <si>
    <t>P(06)</t>
  </si>
  <si>
    <t>2-1-BESS緊急安全關斷</t>
  </si>
  <si>
    <t>8-1-可燃氣體濃度未達到LFL</t>
  </si>
  <si>
    <t>R002</t>
  </si>
  <si>
    <t>6-2-發生模組熱失控傳播現象</t>
  </si>
  <si>
    <t>R012</t>
  </si>
  <si>
    <t>10-3-熱煙或毒性氣體未危害至儲能空間以外</t>
  </si>
  <si>
    <t>Impact 07</t>
  </si>
  <si>
    <t>R009</t>
  </si>
  <si>
    <t>R017</t>
  </si>
  <si>
    <t>P(07)</t>
  </si>
  <si>
    <t>9-2-消防系統無法發揮冷卻作用</t>
  </si>
  <si>
    <t>R016</t>
  </si>
  <si>
    <t>10-4-熱煙或毒性氣體危害至儲能空間以外</t>
  </si>
  <si>
    <t>Impact 08</t>
  </si>
  <si>
    <t>R018</t>
  </si>
  <si>
    <t>P(08)</t>
  </si>
  <si>
    <t>7-2-發生電池櫃熱失控傳播現象</t>
  </si>
  <si>
    <t>3-2-電芯發生熱失控</t>
  </si>
  <si>
    <t>R011</t>
  </si>
  <si>
    <t>10-5-熱煙或毒性氣體未危害至儲能空間以外</t>
  </si>
  <si>
    <t>Impact 09</t>
  </si>
  <si>
    <t>R004</t>
  </si>
  <si>
    <t>R021</t>
  </si>
  <si>
    <t>P(09)</t>
  </si>
  <si>
    <t>9-3-消防系統有效發揮冷卻作用</t>
  </si>
  <si>
    <t>R020</t>
  </si>
  <si>
    <t>10-6-熱煙或毒性氣體危害至儲能空間以外</t>
  </si>
  <si>
    <t>Impact 10</t>
  </si>
  <si>
    <t>R022</t>
  </si>
  <si>
    <t>P(10)</t>
  </si>
  <si>
    <t>8-2-可燃氣體濃度達到LFL</t>
  </si>
  <si>
    <t>R019</t>
  </si>
  <si>
    <t>10-7-熱煙或毒性氣體未危害至儲能空間以外</t>
  </si>
  <si>
    <t>Impact 11</t>
  </si>
  <si>
    <t>R024</t>
  </si>
  <si>
    <t>P(11)</t>
  </si>
  <si>
    <t>9-4-消防系統無法發揮冷卻作用</t>
  </si>
  <si>
    <t>R023</t>
  </si>
  <si>
    <t>10-8-熱煙或毒性氣體危害至儲能空間以外</t>
  </si>
  <si>
    <t>Impact 12</t>
  </si>
  <si>
    <t>5-3-未發生電芯熱失控傳播現象</t>
  </si>
  <si>
    <t>Impact 13</t>
  </si>
  <si>
    <t>R025</t>
  </si>
  <si>
    <t>P(12)</t>
  </si>
  <si>
    <t>R027</t>
  </si>
  <si>
    <t>P(13)</t>
  </si>
  <si>
    <t>4-2-通風排出裝置未啟動</t>
  </si>
  <si>
    <t>6-3-未發生模組熱失控傳播現象</t>
  </si>
  <si>
    <t>Impact 14</t>
  </si>
  <si>
    <t>10-9-熱煙或毒性氣體未危害至儲能空間以外</t>
  </si>
  <si>
    <t>Impact 16</t>
  </si>
  <si>
    <t>R026</t>
  </si>
  <si>
    <t>R029</t>
  </si>
  <si>
    <t>P(14)</t>
  </si>
  <si>
    <t>9-5-消防系統有效發揮冷卻作用</t>
  </si>
  <si>
    <t>R035</t>
  </si>
  <si>
    <t>P(16)</t>
  </si>
  <si>
    <t>5-4-發生電芯熱失控傳播現象</t>
  </si>
  <si>
    <t>7-3-未發生電池櫃熱失控傳播現象</t>
  </si>
  <si>
    <t>Impact 15</t>
  </si>
  <si>
    <t>R034</t>
  </si>
  <si>
    <t>R028</t>
  </si>
  <si>
    <t>R031</t>
  </si>
  <si>
    <t>P(15)</t>
  </si>
  <si>
    <t>10-10-熱煙或毒性氣體危害至儲能空間以外</t>
  </si>
  <si>
    <t>Impact 17</t>
  </si>
  <si>
    <t>8-3-可燃氣體濃度未達到LFL</t>
  </si>
  <si>
    <t>R036</t>
  </si>
  <si>
    <t>P(17)</t>
  </si>
  <si>
    <t>1-1-值班室或EWCS通報電池異常</t>
  </si>
  <si>
    <t>6-4-發生模組熱失控傳播現象</t>
  </si>
  <si>
    <t>R033</t>
  </si>
  <si>
    <t>R001</t>
  </si>
  <si>
    <t>R030</t>
  </si>
  <si>
    <t>10-11-熱煙或毒性氣體未危害至儲能空間以外</t>
  </si>
  <si>
    <t>Impact 18</t>
  </si>
  <si>
    <t>R038</t>
  </si>
  <si>
    <t>P(18)</t>
  </si>
  <si>
    <t>9-6-消防系統無法發揮冷卻作用</t>
  </si>
  <si>
    <t>7-4-發生電池櫃熱失控傳播現象</t>
  </si>
  <si>
    <t>R037</t>
  </si>
  <si>
    <t>10-12-熱煙或毒性氣體危害至儲能空間以外</t>
  </si>
  <si>
    <t>Impact 19</t>
  </si>
  <si>
    <t>R032</t>
  </si>
  <si>
    <t>R039</t>
  </si>
  <si>
    <t>P(19)</t>
  </si>
  <si>
    <t>10-13-熱煙或毒性氣體未危害至儲能空間以外</t>
  </si>
  <si>
    <t>Impact 20</t>
  </si>
  <si>
    <t>9-7-消防系統有效發揮冷卻作用</t>
  </si>
  <si>
    <t>R042</t>
  </si>
  <si>
    <t>P(20)</t>
  </si>
  <si>
    <t>R041</t>
  </si>
  <si>
    <t>10-14-熱煙或毒性氣體危害至儲能空間以外</t>
  </si>
  <si>
    <t>Impact 21</t>
  </si>
  <si>
    <t>8-4-可燃氣體濃度達到LFL</t>
  </si>
  <si>
    <t>R043</t>
  </si>
  <si>
    <t>P(21)</t>
  </si>
  <si>
    <t>R040</t>
  </si>
  <si>
    <t>10-15-熱煙或毒性氣體未危害至儲能空間以外</t>
  </si>
  <si>
    <t>Impact 22</t>
  </si>
  <si>
    <t>R045</t>
  </si>
  <si>
    <t>P(22)</t>
  </si>
  <si>
    <t>9-8-消防系統無法發揮冷卻作用</t>
  </si>
  <si>
    <t>R044</t>
  </si>
  <si>
    <t>10-16-熱煙或毒性氣體危害至儲能空間以外</t>
  </si>
  <si>
    <t>Impact 23</t>
  </si>
  <si>
    <t>3-3-電芯未發生熱失控</t>
  </si>
  <si>
    <t>Impact 24</t>
  </si>
  <si>
    <t>5-5-未發生電芯熱失控傳播現象</t>
  </si>
  <si>
    <t>Impact 25</t>
  </si>
  <si>
    <t>R046</t>
  </si>
  <si>
    <t>P(23)</t>
  </si>
  <si>
    <t>R048</t>
  </si>
  <si>
    <t>P(24)</t>
  </si>
  <si>
    <t>R051</t>
  </si>
  <si>
    <t>P(25)</t>
  </si>
  <si>
    <t>6-5-未發生模組熱失控傳播現象</t>
  </si>
  <si>
    <t>Impact 26</t>
  </si>
  <si>
    <t>10-17-熱煙或毒性氣體未危害至儲能空間以外</t>
  </si>
  <si>
    <t>Impact 28</t>
  </si>
  <si>
    <t>4-3-通風排出裝置啟動</t>
  </si>
  <si>
    <t>R053</t>
  </si>
  <si>
    <t>P(26)</t>
  </si>
  <si>
    <t>9-9-消防系統有效發揮冷卻作用</t>
  </si>
  <si>
    <t>R059</t>
  </si>
  <si>
    <t>P(28)</t>
  </si>
  <si>
    <t>R050</t>
  </si>
  <si>
    <t>7-5-未發生電池櫃熱失控傳播現象</t>
  </si>
  <si>
    <t>Impact 27</t>
  </si>
  <si>
    <t>R058</t>
  </si>
  <si>
    <t>5-6-發生電芯熱失控傳播現象</t>
  </si>
  <si>
    <t>R055</t>
  </si>
  <si>
    <t>P(27)</t>
  </si>
  <si>
    <t>10-18-熱煙或毒性氣體危害至儲能空間以外</t>
  </si>
  <si>
    <t>Impact 29</t>
  </si>
  <si>
    <t>R052</t>
  </si>
  <si>
    <t>8-5-可燃氣體濃度未達到LFL</t>
  </si>
  <si>
    <t>R060</t>
  </si>
  <si>
    <t>P(29)</t>
  </si>
  <si>
    <t>2-2-BESS未緊急安全關斷</t>
  </si>
  <si>
    <t>R057</t>
  </si>
  <si>
    <t>R047</t>
  </si>
  <si>
    <t>6-6-發生模組熱失控傳播現象</t>
  </si>
  <si>
    <t>10-19-熱煙或毒性氣體未危害至儲能空間以外</t>
  </si>
  <si>
    <t>Impact 30</t>
  </si>
  <si>
    <t>R054</t>
  </si>
  <si>
    <t>R062</t>
  </si>
  <si>
    <t>P(30)</t>
  </si>
  <si>
    <t>9-10-消防系統無法發揮冷卻作用</t>
  </si>
  <si>
    <t>R061</t>
  </si>
  <si>
    <t>10-20-熱煙或毒性氣體危害至儲能空間以外</t>
  </si>
  <si>
    <t>Impact 31</t>
  </si>
  <si>
    <t>7-6-發生電池櫃熱失控傳播現象</t>
  </si>
  <si>
    <t>R063</t>
  </si>
  <si>
    <t>P(31)</t>
  </si>
  <si>
    <t>R056</t>
  </si>
  <si>
    <t>3-4-電芯發生熱失控</t>
  </si>
  <si>
    <t>10-21-熱煙或毒性氣體未危害至儲能空間以外</t>
  </si>
  <si>
    <t>Impact 32</t>
  </si>
  <si>
    <t>R049</t>
  </si>
  <si>
    <t>9-11-消防系統有效發揮冷卻作用</t>
  </si>
  <si>
    <t>R066</t>
  </si>
  <si>
    <t>P(32)</t>
  </si>
  <si>
    <t>R065</t>
  </si>
  <si>
    <t>10-22-熱煙或毒性氣體危害至儲能空間以外</t>
  </si>
  <si>
    <t>Impact 33</t>
  </si>
  <si>
    <t>8-6-可燃氣體濃度達到LFL</t>
  </si>
  <si>
    <t>R067</t>
  </si>
  <si>
    <t>P(33)</t>
  </si>
  <si>
    <t>R064</t>
  </si>
  <si>
    <t>10-23-熱煙或毒性氣體未危害至儲能空間以外</t>
  </si>
  <si>
    <t>Impact 34</t>
  </si>
  <si>
    <t>R069</t>
  </si>
  <si>
    <t>P(34)</t>
  </si>
  <si>
    <t>9-12-消防系統無法發揮冷卻作用</t>
  </si>
  <si>
    <t>R068</t>
  </si>
  <si>
    <t>10-24-熱煙或毒性氣體危害至儲能空間以外</t>
  </si>
  <si>
    <t>Impact 35</t>
  </si>
  <si>
    <t>5-7-未發生電芯熱失控傳播現象</t>
  </si>
  <si>
    <t>Impact 36</t>
  </si>
  <si>
    <t>R070</t>
  </si>
  <si>
    <t>P(35)</t>
  </si>
  <si>
    <t>R072</t>
  </si>
  <si>
    <t>P(36)</t>
  </si>
  <si>
    <t>6-7-未發生模組熱失控傳播現象</t>
  </si>
  <si>
    <t>Impact 37</t>
  </si>
  <si>
    <t>10-25-熱煙或毒性氣體未危害至儲能空間以外</t>
  </si>
  <si>
    <t>Impact 39</t>
  </si>
  <si>
    <t>4-4-通風排出裝置未啟動</t>
  </si>
  <si>
    <t>R074</t>
  </si>
  <si>
    <t>P(37)</t>
  </si>
  <si>
    <t>9-13-消防系統有效發揮冷卻作用</t>
  </si>
  <si>
    <t>R080</t>
  </si>
  <si>
    <t>P(39)</t>
  </si>
  <si>
    <t>頂層事件(Top Event )</t>
  </si>
  <si>
    <t>R071</t>
  </si>
  <si>
    <t>7-7-未發生電池櫃熱失控傳播現象</t>
  </si>
  <si>
    <t>Impact 38</t>
  </si>
  <si>
    <t>R079</t>
  </si>
  <si>
    <t>5-8-發生電芯熱失控傳播現象</t>
  </si>
  <si>
    <t>R076</t>
  </si>
  <si>
    <t>P(38)</t>
  </si>
  <si>
    <t>10-26-熱煙或毒性氣體危害至儲能空間以外</t>
  </si>
  <si>
    <t>Impact 40</t>
  </si>
  <si>
    <r>
      <rPr>
        <rFont val="DFKai-SB"/>
        <color theme="1"/>
        <sz val="5.0"/>
      </rPr>
      <t>電芯溫度或壓力達危險界限F</t>
    </r>
    <r>
      <rPr>
        <rFont val="標楷體"/>
        <color theme="1"/>
        <sz val="5.0"/>
        <vertAlign val="subscript"/>
      </rPr>
      <t>Top</t>
    </r>
    <r>
      <rPr>
        <rFont val="標楷體"/>
        <color theme="1"/>
        <sz val="5.0"/>
      </rPr>
      <t>(t)
The Temperature or Pressure of the Cell Reaches Dangerous Levels</t>
    </r>
  </si>
  <si>
    <t>R073</t>
  </si>
  <si>
    <t>8-7-可燃氣體濃度未達到LFL</t>
  </si>
  <si>
    <t>R081</t>
  </si>
  <si>
    <t>P(40)</t>
  </si>
  <si>
    <t>R078</t>
  </si>
  <si>
    <t>6-8-發生模組熱失控傳播現象</t>
  </si>
  <si>
    <t>10-27-熱煙或毒性氣體未危害至儲能空間以外</t>
  </si>
  <si>
    <t>Impact 41</t>
  </si>
  <si>
    <t>R075</t>
  </si>
  <si>
    <t>R083</t>
  </si>
  <si>
    <t>P(41)</t>
  </si>
  <si>
    <r>
      <rPr>
        <rFont val="DFKai-SB"/>
        <color rgb="FF0000FF"/>
        <sz val="5.0"/>
      </rPr>
      <t>F</t>
    </r>
    <r>
      <rPr>
        <rFont val="標楷體"/>
        <color rgb="FF0000FF"/>
        <sz val="5.0"/>
        <vertAlign val="subscript"/>
      </rPr>
      <t>req.Ann</t>
    </r>
    <r>
      <rPr>
        <rFont val="標楷體"/>
        <color rgb="FF0000FF"/>
        <sz val="5.0"/>
      </rPr>
      <t xml:space="preserve"> (Annual Frequency)</t>
    </r>
  </si>
  <si>
    <t>9-14-消防系統無法發揮冷卻作用</t>
  </si>
  <si>
    <t>R082</t>
  </si>
  <si>
    <t>10-28-熱煙或毒性氣體危害至儲能空間以外</t>
  </si>
  <si>
    <t>Impact 42</t>
  </si>
  <si>
    <t>7-8-發生電池櫃熱失控傳播現象</t>
  </si>
  <si>
    <t>R084</t>
  </si>
  <si>
    <t>P(42)</t>
  </si>
  <si>
    <t>R077</t>
  </si>
  <si>
    <t>10-29-熱煙或毒性氣體未危害至儲能空間以外</t>
  </si>
  <si>
    <t>Impact 43</t>
  </si>
  <si>
    <t>9-15-消防系統有效發揮冷卻作用</t>
  </si>
  <si>
    <t>R087</t>
  </si>
  <si>
    <t>P(43)</t>
  </si>
  <si>
    <t>R086</t>
  </si>
  <si>
    <t>10-30-熱煙或毒性氣體危害至儲能空間以外</t>
  </si>
  <si>
    <t>Impact 44</t>
  </si>
  <si>
    <t>8-8-可燃氣體濃度達到LFL</t>
  </si>
  <si>
    <t>R088</t>
  </si>
  <si>
    <t>P(44)</t>
  </si>
  <si>
    <t>R085</t>
  </si>
  <si>
    <t>10-31-熱煙或毒性氣體未危害至儲能空間以外</t>
  </si>
  <si>
    <t>Impact 45</t>
  </si>
  <si>
    <t>R090</t>
  </si>
  <si>
    <t>P(45)</t>
  </si>
  <si>
    <t>9-16-消防系統無法發揮冷卻作用</t>
  </si>
  <si>
    <t>R089</t>
  </si>
  <si>
    <t>10-32-熱煙或毒性氣體危害至儲能空間以外</t>
  </si>
  <si>
    <t>Impact 46</t>
  </si>
  <si>
    <t>3-5-電芯未發生熱失控</t>
  </si>
  <si>
    <t>Impact 47</t>
  </si>
  <si>
    <t>5-9-未發生電芯熱失控傳播現象</t>
  </si>
  <si>
    <t>Impact 48</t>
  </si>
  <si>
    <t>R091</t>
  </si>
  <si>
    <t>P(46)</t>
  </si>
  <si>
    <t>R094</t>
  </si>
  <si>
    <t>P(47)</t>
  </si>
  <si>
    <t>R097</t>
  </si>
  <si>
    <t>P(48)</t>
  </si>
  <si>
    <t>4-5-通風排出裝置啟動</t>
  </si>
  <si>
    <t>6-9-未發生模組熱失控傳播現象</t>
  </si>
  <si>
    <t>Impact 49</t>
  </si>
  <si>
    <t>10-33-熱煙或毒性氣體未危害至儲能空間以外</t>
  </si>
  <si>
    <t>Impact 51</t>
  </si>
  <si>
    <t>R096</t>
  </si>
  <si>
    <t>R099</t>
  </si>
  <si>
    <t>P(49)</t>
  </si>
  <si>
    <t>9-17-消防系統有效發揮冷卻作用</t>
  </si>
  <si>
    <t>R105</t>
  </si>
  <si>
    <t>P(51)</t>
  </si>
  <si>
    <t>5-10-發生電芯熱失控傳播現象</t>
  </si>
  <si>
    <t>7-9-未發生電池櫃熱失控傳播現象</t>
  </si>
  <si>
    <t>Impact 50</t>
  </si>
  <si>
    <t>R104</t>
  </si>
  <si>
    <t>R098</t>
  </si>
  <si>
    <t>R101</t>
  </si>
  <si>
    <t>P(50)</t>
  </si>
  <si>
    <t>10-34-熱煙或毒性氣體危害至儲能空間以外</t>
  </si>
  <si>
    <t>Impact 52</t>
  </si>
  <si>
    <t>2-3-BESS緊急安全關斷</t>
  </si>
  <si>
    <t>8-9-可燃氣體濃度未達到LFL</t>
  </si>
  <si>
    <t>R106</t>
  </si>
  <si>
    <t>P(52)</t>
  </si>
  <si>
    <t>R093</t>
  </si>
  <si>
    <t>6-10-發生模組熱失控傳播現象</t>
  </si>
  <si>
    <t>R103</t>
  </si>
  <si>
    <t>R100</t>
  </si>
  <si>
    <t>10-35-熱煙或毒性氣體未危害至儲能空間以外</t>
  </si>
  <si>
    <t>Impact 53</t>
  </si>
  <si>
    <t>R108</t>
  </si>
  <si>
    <t>P(53)</t>
  </si>
  <si>
    <t>9-18-消防系統無法發揮冷卻作用</t>
  </si>
  <si>
    <t>7-10-發生電池櫃熱失控傳播現象</t>
  </si>
  <si>
    <t>R107</t>
  </si>
  <si>
    <t>10-36-熱煙或毒性氣體危害至儲能空間以外</t>
  </si>
  <si>
    <t>Impact 54</t>
  </si>
  <si>
    <t>R102</t>
  </si>
  <si>
    <t>R109</t>
  </si>
  <si>
    <t>P(54)</t>
  </si>
  <si>
    <t>3-6-電芯發生熱失控</t>
  </si>
  <si>
    <t>R095</t>
  </si>
  <si>
    <t>10-37-熱煙或毒性氣體未危害至儲能空間以外</t>
  </si>
  <si>
    <t>Impact 55</t>
  </si>
  <si>
    <t>9-19-消防系統有效發揮冷卻作用</t>
  </si>
  <si>
    <t>R112</t>
  </si>
  <si>
    <t>P(55)</t>
  </si>
  <si>
    <t>R111</t>
  </si>
  <si>
    <t>10-38-熱煙或毒性氣體危害至儲能空間以外</t>
  </si>
  <si>
    <t>Impact 56</t>
  </si>
  <si>
    <t>8-10-可燃氣體濃度達到LFL</t>
  </si>
  <si>
    <t>R113</t>
  </si>
  <si>
    <t>P(56)</t>
  </si>
  <si>
    <t>R110</t>
  </si>
  <si>
    <t>10-39-熱煙或毒性氣體未危害至儲能空間以外</t>
  </si>
  <si>
    <t>Impact 57</t>
  </si>
  <si>
    <t>R115</t>
  </si>
  <si>
    <t>P(57)</t>
  </si>
  <si>
    <t>9-20-消防系統無法發揮冷卻作用</t>
  </si>
  <si>
    <t>R114</t>
  </si>
  <si>
    <t>10-40-熱煙或毒性氣體危害至儲能空間以外</t>
  </si>
  <si>
    <t>Impact 58</t>
  </si>
  <si>
    <t>5-11-未發生電芯熱失控傳播現象</t>
  </si>
  <si>
    <t>Impact 59</t>
  </si>
  <si>
    <t>R116</t>
  </si>
  <si>
    <t>P(58)</t>
  </si>
  <si>
    <t>R118</t>
  </si>
  <si>
    <t>P(59)</t>
  </si>
  <si>
    <t>4-6-通風排出裝置未啟動</t>
  </si>
  <si>
    <t>6-11-未發生模組熱失控傳播現象</t>
  </si>
  <si>
    <t>Impact 60</t>
  </si>
  <si>
    <t>10-41-熱煙或毒性氣體未危害至儲能空間以外</t>
  </si>
  <si>
    <t>Impact 62</t>
  </si>
  <si>
    <t>R117</t>
  </si>
  <si>
    <t>R120</t>
  </si>
  <si>
    <t>P(60)</t>
  </si>
  <si>
    <t>9-21-消防系統有效發揮冷卻作用</t>
  </si>
  <si>
    <t>R126</t>
  </si>
  <si>
    <t>P(62)</t>
  </si>
  <si>
    <t>5-12-發生電芯熱失控傳播現象</t>
  </si>
  <si>
    <t>7-11-未發生電池櫃熱失控傳播現象</t>
  </si>
  <si>
    <t>Impact 61</t>
  </si>
  <si>
    <t>R125</t>
  </si>
  <si>
    <t>1-2-值班室或EWCS未通報電池異常</t>
  </si>
  <si>
    <t>R119</t>
  </si>
  <si>
    <t>R122</t>
  </si>
  <si>
    <t>P(61)</t>
  </si>
  <si>
    <t>10-42-熱煙或毒性氣體危害至儲能空間以外</t>
  </si>
  <si>
    <t>Impact 63</t>
  </si>
  <si>
    <t>R092</t>
  </si>
  <si>
    <t>8-11-可燃氣體濃度未達到LFL</t>
  </si>
  <si>
    <t>R127</t>
  </si>
  <si>
    <t>P(63)</t>
  </si>
  <si>
    <t>6-12-發生模組熱失控傳播現象</t>
  </si>
  <si>
    <t>R124</t>
  </si>
  <si>
    <t>R121</t>
  </si>
  <si>
    <t>10-43-熱煙或毒性氣體未危害至儲能空間以外</t>
  </si>
  <si>
    <t>Impact 64</t>
  </si>
  <si>
    <t>R129</t>
  </si>
  <si>
    <t>P(64)</t>
  </si>
  <si>
    <t>9-22-消防系統無法發揮冷卻作用</t>
  </si>
  <si>
    <t>7-12-發生電池櫃熱失控傳播現象</t>
  </si>
  <si>
    <t>R128</t>
  </si>
  <si>
    <t>10-44-熱煙或毒性氣體危害至儲能空間以外</t>
  </si>
  <si>
    <t>Impact 65</t>
  </si>
  <si>
    <t>R123</t>
  </si>
  <si>
    <t>R130</t>
  </si>
  <si>
    <t>P(65)</t>
  </si>
  <si>
    <t>10-45-熱煙或毒性氣體未危害至儲能空間以外</t>
  </si>
  <si>
    <t>Impact 66</t>
  </si>
  <si>
    <t>9-23-消防系統有效發揮冷卻作用</t>
  </si>
  <si>
    <t>R133</t>
  </si>
  <si>
    <t>P(66)</t>
  </si>
  <si>
    <t>R132</t>
  </si>
  <si>
    <t>10-46-熱煙或毒性氣體危害至儲能空間以外</t>
  </si>
  <si>
    <t>Impact 67</t>
  </si>
  <si>
    <t>8-12-可燃氣體濃度達到LFL</t>
  </si>
  <si>
    <t>R134</t>
  </si>
  <si>
    <t>P(67)</t>
  </si>
  <si>
    <t>R131</t>
  </si>
  <si>
    <t>10-47-熱煙或毒性氣體未危害至儲能空間以外</t>
  </si>
  <si>
    <t>Impact 68</t>
  </si>
  <si>
    <t>R136</t>
  </si>
  <si>
    <t>P(68)</t>
  </si>
  <si>
    <t>9-24-消防系統無法發揮冷卻作用</t>
  </si>
  <si>
    <t>R135</t>
  </si>
  <si>
    <t>10-48-熱煙或毒性氣體危害至儲能空間以外</t>
  </si>
  <si>
    <t>Impact 69</t>
  </si>
  <si>
    <t>3-7-電芯未發生熱失控</t>
  </si>
  <si>
    <t>Impact 70</t>
  </si>
  <si>
    <t>5-13-未發生電芯熱失控傳播現象</t>
  </si>
  <si>
    <t>Impact 71</t>
  </si>
  <si>
    <t>R137</t>
  </si>
  <si>
    <t>P(69)</t>
  </si>
  <si>
    <t>R139</t>
  </si>
  <si>
    <t>P(70)</t>
  </si>
  <si>
    <t>R142</t>
  </si>
  <si>
    <t>P(71)</t>
  </si>
  <si>
    <t>4-7-通風排出裝置啟動</t>
  </si>
  <si>
    <t>6-13-未發生模組熱失控傳播現象</t>
  </si>
  <si>
    <t>Impact 72</t>
  </si>
  <si>
    <t>10-49-熱煙或毒性氣體未危害至儲能空間以外</t>
  </si>
  <si>
    <t>Impact 74</t>
  </si>
  <si>
    <t>R141</t>
  </si>
  <si>
    <t>R144</t>
  </si>
  <si>
    <t>P(72)</t>
  </si>
  <si>
    <t>9-25-消防系統有效發揮冷卻作用</t>
  </si>
  <si>
    <t>R150</t>
  </si>
  <si>
    <t>P(74)</t>
  </si>
  <si>
    <t>5-14-發生電芯熱失控傳播現象</t>
  </si>
  <si>
    <t>7-13-未發生電池櫃熱失控傳播現象</t>
  </si>
  <si>
    <t>Impact 73</t>
  </si>
  <si>
    <t>R149</t>
  </si>
  <si>
    <t>R143</t>
  </si>
  <si>
    <t>R146</t>
  </si>
  <si>
    <t>P(73)</t>
  </si>
  <si>
    <t>10-50-熱煙或毒性氣體危害至儲能空間以外</t>
  </si>
  <si>
    <t>Impact 75</t>
  </si>
  <si>
    <t>2-4-BESS未緊急安全關斷</t>
  </si>
  <si>
    <t>8-13-可燃氣體濃度未達到LFL</t>
  </si>
  <si>
    <t>R151</t>
  </si>
  <si>
    <t>P(75)</t>
  </si>
  <si>
    <t>R138</t>
  </si>
  <si>
    <t>6-14-發生模組熱失控傳播現象</t>
  </si>
  <si>
    <t>R148</t>
  </si>
  <si>
    <t>R145</t>
  </si>
  <si>
    <t>10-51-熱煙或毒性氣體未危害至儲能空間以外</t>
  </si>
  <si>
    <t>Impact 76</t>
  </si>
  <si>
    <t>R153</t>
  </si>
  <si>
    <t>P(76)</t>
  </si>
  <si>
    <t>9-26-消防系統無法發揮冷卻作用</t>
  </si>
  <si>
    <t>R152</t>
  </si>
  <si>
    <t>10-52-熱煙或毒性氣體危害至儲能空間以外</t>
  </si>
  <si>
    <t>Impact 77</t>
  </si>
  <si>
    <t>7-14-發生電池櫃熱失控傳播現象</t>
  </si>
  <si>
    <t>R154</t>
  </si>
  <si>
    <t>P(77)</t>
  </si>
  <si>
    <t>3-8-電芯發生熱失控</t>
  </si>
  <si>
    <t>R147</t>
  </si>
  <si>
    <t>R140</t>
  </si>
  <si>
    <t>10-53-熱煙或毒性氣體未危害至儲能空間以外</t>
  </si>
  <si>
    <t>Impact 78</t>
  </si>
  <si>
    <t>9-27-消防系統有效發揮冷卻作用</t>
  </si>
  <si>
    <t>R157</t>
  </si>
  <si>
    <t>P(78)</t>
  </si>
  <si>
    <t>R156</t>
  </si>
  <si>
    <t>10-54-熱煙或毒性氣體危害至儲能空間以外</t>
  </si>
  <si>
    <t>Impact 79</t>
  </si>
  <si>
    <t>8-14-可燃氣體濃度達到LFL</t>
  </si>
  <si>
    <t>R158</t>
  </si>
  <si>
    <t>P(79)</t>
  </si>
  <si>
    <t>R155</t>
  </si>
  <si>
    <t>10-55-熱煙或毒性氣體未危害至儲能空間以外</t>
  </si>
  <si>
    <t>Impact 80</t>
  </si>
  <si>
    <t>R160</t>
  </si>
  <si>
    <t>P(80)</t>
  </si>
  <si>
    <t>9-28消防系統無法發揮冷卻作用</t>
  </si>
  <si>
    <t>R159</t>
  </si>
  <si>
    <t>10-56-熱煙或毒性氣體危害至儲能空間以外</t>
  </si>
  <si>
    <t>Impact 81</t>
  </si>
  <si>
    <t>5-15-未發生電芯熱失控傳播現象</t>
  </si>
  <si>
    <t>Impact 82</t>
  </si>
  <si>
    <t>R161</t>
  </si>
  <si>
    <t>P(81)</t>
  </si>
  <si>
    <t>R163</t>
  </si>
  <si>
    <t>P(82)</t>
  </si>
  <si>
    <t>4-8-通風排出裝置未啟動</t>
  </si>
  <si>
    <t>6-15-未發生模組熱失控傳播現象</t>
  </si>
  <si>
    <t>Impact 83</t>
  </si>
  <si>
    <t>10-57-熱煙或毒性氣體未危害至儲能空間以外</t>
  </si>
  <si>
    <t>Impact 85</t>
  </si>
  <si>
    <t>R162</t>
  </si>
  <si>
    <t>R165</t>
  </si>
  <si>
    <t>P(83)</t>
  </si>
  <si>
    <t>9-29-消防系統有效發揮冷卻作用</t>
  </si>
  <si>
    <t>R171</t>
  </si>
  <si>
    <t>P(85)</t>
  </si>
  <si>
    <t>5-16-發生電芯熱失控傳播現象</t>
  </si>
  <si>
    <t>7-15-未發生電池櫃熱失控傳播現象</t>
  </si>
  <si>
    <t>Impact 84</t>
  </si>
  <si>
    <t>R170</t>
  </si>
  <si>
    <t>R164</t>
  </si>
  <si>
    <t>R167</t>
  </si>
  <si>
    <t>P(84)</t>
  </si>
  <si>
    <t>10-58-熱煙或毒性氣體危害至儲能空間以外</t>
  </si>
  <si>
    <t>Impact 86</t>
  </si>
  <si>
    <t>8-15-可燃氣體濃度未達到LFL</t>
  </si>
  <si>
    <t>R172</t>
  </si>
  <si>
    <t>P(86)</t>
  </si>
  <si>
    <t>6-16-發生模組熱失控傳播現象</t>
  </si>
  <si>
    <t>R169</t>
  </si>
  <si>
    <t>R166</t>
  </si>
  <si>
    <t>10-59-熱煙或毒性氣體未危害至儲能空間以外</t>
  </si>
  <si>
    <t>Impact 87</t>
  </si>
  <si>
    <t>R174</t>
  </si>
  <si>
    <t>P(87)</t>
  </si>
  <si>
    <t>9-30-消防系統無法發揮冷卻作用</t>
  </si>
  <si>
    <t>7-16-發生電池櫃熱失控傳播現象</t>
  </si>
  <si>
    <t>R173</t>
  </si>
  <si>
    <t>10-60-熱煙或毒性氣體危害至儲能空間以外</t>
  </si>
  <si>
    <t>Impact 88</t>
  </si>
  <si>
    <t>R168</t>
  </si>
  <si>
    <t>R175</t>
  </si>
  <si>
    <t>P(88)</t>
  </si>
  <si>
    <t>10-61-熱煙或毒性氣體未危害至儲能空間以外</t>
  </si>
  <si>
    <t>Impact 89</t>
  </si>
  <si>
    <t>9-31-消防系統有效發揮冷卻作用</t>
  </si>
  <si>
    <t>R178</t>
  </si>
  <si>
    <t>P(89)</t>
  </si>
  <si>
    <t>R177</t>
  </si>
  <si>
    <t>10-62-熱煙或毒性氣體危害至儲能空間以外</t>
  </si>
  <si>
    <t>Impact 90</t>
  </si>
  <si>
    <t>8-16-可燃氣體濃度達到LFL</t>
  </si>
  <si>
    <t>R179</t>
  </si>
  <si>
    <t>P(90)</t>
  </si>
  <si>
    <t>R176</t>
  </si>
  <si>
    <t>10-63-熱煙或毒性氣體未危害至儲能空間以外</t>
  </si>
  <si>
    <t>Impact 91</t>
  </si>
  <si>
    <t>R181</t>
  </si>
  <si>
    <t>P(91)</t>
  </si>
  <si>
    <t>9-32-消防系統無法發揮冷卻作用</t>
  </si>
  <si>
    <t>R180</t>
  </si>
  <si>
    <t>10-64-熱煙或毒性氣體危害至儲能空間以外</t>
  </si>
  <si>
    <t>Impact 92</t>
  </si>
  <si>
    <t>R182</t>
  </si>
  <si>
    <t>P(92)</t>
  </si>
  <si>
    <r>
      <rPr>
        <rFont val="Times New Roman"/>
        <color rgb="FF0000FF"/>
        <sz val="5.0"/>
      </rPr>
      <t>3-1-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</si>
  <si>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5-1-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</si>
  <si>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10-1-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</si>
  <si>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4-1-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</si>
  <si>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6-1-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</si>
  <si>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9-1-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</si>
  <si>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5-2-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</si>
  <si>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</si>
  <si>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</si>
  <si>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2-1-BESS</t>
    </r>
    <r>
      <rPr>
        <rFont val="標楷體"/>
        <color rgb="FF0000FF"/>
        <sz val="5.0"/>
      </rPr>
      <t>緊急安全關斷</t>
    </r>
  </si>
  <si>
    <r>
      <rPr>
        <rFont val="Times New Roman"/>
        <color rgb="FF0000FF"/>
        <sz val="5.0"/>
      </rPr>
      <t>8-1-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</si>
  <si>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6-2-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</si>
  <si>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</si>
  <si>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</si>
  <si>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</si>
  <si>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7-2-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</si>
  <si>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3-2-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</si>
  <si>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</si>
  <si>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9-3-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</si>
  <si>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</si>
  <si>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8-2-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</si>
  <si>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</si>
  <si>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9-4-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</si>
  <si>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</si>
  <si>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5-3-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</si>
  <si>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FF0000"/>
        <sz val="5.0"/>
      </rPr>
      <t>4-2-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</si>
  <si>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6-3-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</si>
  <si>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</si>
  <si>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9-5-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</si>
  <si>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5-4-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</si>
  <si>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7-3-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</si>
  <si>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10-10-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</si>
  <si>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8-3-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</si>
  <si>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0000FF"/>
        <sz val="5.0"/>
      </rPr>
      <t>1-1-</t>
    </r>
    <r>
      <rPr>
        <rFont val="標楷體"/>
        <color rgb="FF0000FF"/>
        <sz val="5.0"/>
      </rPr>
      <t>值班室或</t>
    </r>
    <r>
      <rPr>
        <rFont val="Times New Roman"/>
        <color rgb="FF0000FF"/>
        <sz val="5.0"/>
      </rPr>
      <t>EWCS</t>
    </r>
    <r>
      <rPr>
        <rFont val="標楷體"/>
        <color rgb="FF0000FF"/>
        <sz val="5.0"/>
      </rPr>
      <t>通報電池異常</t>
    </r>
  </si>
  <si>
    <r>
      <rPr>
        <rFont val="Times New Roman"/>
        <color rgb="FFFF0000"/>
        <sz val="5.0"/>
      </rPr>
      <t>6-4-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</si>
  <si>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10-11-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</si>
  <si>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9-6-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</si>
  <si>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7-4-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</si>
  <si>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10-12-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</si>
  <si>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10-13-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</si>
  <si>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9-7-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</si>
  <si>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10-14-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</si>
  <si>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8-4-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</si>
  <si>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10-15-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</si>
  <si>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9-8-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</si>
  <si>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10-16-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</si>
  <si>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3-3-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</si>
  <si>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5-5-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</si>
  <si>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6-5-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</si>
  <si>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10-17-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</si>
  <si>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4-3-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</si>
  <si>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9-9-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</si>
  <si>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0000FF"/>
        <sz val="5.0"/>
      </rPr>
      <t>7-5-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</si>
  <si>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5-6-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</si>
  <si>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FF0000"/>
        <sz val="5.0"/>
      </rPr>
      <t>10-18-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</si>
  <si>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8-5-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</si>
  <si>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2-2-BESS</t>
    </r>
    <r>
      <rPr>
        <rFont val="標楷體"/>
        <color rgb="FFFF0000"/>
        <sz val="5.0"/>
      </rPr>
      <t>未緊急安全關斷</t>
    </r>
  </si>
  <si>
    <r>
      <rPr>
        <rFont val="Times New Roman"/>
        <color rgb="FFFF0000"/>
        <sz val="5.0"/>
      </rPr>
      <t>6-6-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</si>
  <si>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10-19-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</si>
  <si>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9-10-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</si>
  <si>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10-20-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</si>
  <si>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7-6-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</si>
  <si>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3-4-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</si>
  <si>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10-21-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</si>
  <si>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</si>
  <si>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10-22-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</si>
  <si>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8-6-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</si>
  <si>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10-23-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</si>
  <si>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</si>
  <si>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10-24-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</si>
  <si>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5-7-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</si>
  <si>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6-7-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</si>
  <si>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10-25-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</si>
  <si>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4-4-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</si>
  <si>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9-13-</t>
    </r>
    <r>
      <rPr>
        <rFont val="標楷體"/>
        <color rgb="FF0000FF"/>
        <sz val="5.0"/>
      </rPr>
      <t>消防系統有效發揮冷卻作用</t>
    </r>
  </si>
  <si>
    <r>
      <rPr>
        <rFont val="標楷體"/>
        <color theme="1"/>
        <sz val="5.0"/>
      </rPr>
      <t>頂層事件</t>
    </r>
    <r>
      <rPr>
        <rFont val="Times New Roman"/>
        <color theme="1"/>
        <sz val="5.0"/>
      </rPr>
      <t>(Top Event )</t>
    </r>
  </si>
  <si>
    <r>
      <rPr>
        <rFont val="Times New Roman"/>
        <color rgb="FF0000FF"/>
        <sz val="5.0"/>
      </rPr>
      <t>7-7-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</si>
  <si>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5-8-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</si>
  <si>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FF0000"/>
        <sz val="5.0"/>
      </rPr>
      <t>10-26-</t>
    </r>
    <r>
      <rPr>
        <rFont val="標楷體"/>
        <color rgb="FFFF0000"/>
        <sz val="5.0"/>
      </rPr>
      <t>熱煙或毒性氣體危害至儲能空間以外</t>
    </r>
  </si>
  <si>
    <r>
      <rPr>
        <rFont val="標楷體"/>
        <color theme="1"/>
        <sz val="5.0"/>
      </rPr>
      <t>電芯溫度或壓力達危險界限</t>
    </r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Top</t>
    </r>
    <r>
      <rPr>
        <rFont val="Times New Roman"/>
        <color theme="1"/>
        <sz val="5.0"/>
      </rPr>
      <t>(t)
The Temperature or Pressure of the Cell Reaches Dangerous Levels</t>
    </r>
  </si>
  <si>
    <r>
      <rPr>
        <rFont val="Times New Roman"/>
        <color rgb="FF0000FF"/>
        <sz val="5.0"/>
      </rPr>
      <t>8-7-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</si>
  <si>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6-8-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</si>
  <si>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10-27-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</si>
  <si>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F</t>
    </r>
    <r>
      <rPr>
        <rFont val="Times New Roman"/>
        <color rgb="FF0000FF"/>
        <sz val="5.0"/>
        <vertAlign val="subscript"/>
      </rPr>
      <t>req.Ann</t>
    </r>
    <r>
      <rPr>
        <rFont val="Times New Roman"/>
        <color rgb="FF0000FF"/>
        <sz val="5.0"/>
      </rPr>
      <t xml:space="preserve"> (Annual Frequency)</t>
    </r>
  </si>
  <si>
    <r>
      <rPr>
        <rFont val="Times New Roman"/>
        <color rgb="FFFF0000"/>
        <sz val="5.0"/>
      </rPr>
      <t>9-14-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</si>
  <si>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10-28-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</si>
  <si>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7-8-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</si>
  <si>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0000FF"/>
        <sz val="5.0"/>
      </rPr>
      <t>10-29-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</si>
  <si>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9-15-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</si>
  <si>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10-30-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</si>
  <si>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8-8-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</si>
  <si>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10-31-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</si>
  <si>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9-16-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</si>
  <si>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10-32-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</si>
  <si>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3-5-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</si>
  <si>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5-9-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</si>
  <si>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4-5-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</si>
  <si>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6-9-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</si>
  <si>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10-33-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</si>
  <si>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9-17-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</si>
  <si>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5-10-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</si>
  <si>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7-9-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</si>
  <si>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10-34-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</si>
  <si>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2-3-BESS</t>
    </r>
    <r>
      <rPr>
        <rFont val="標楷體"/>
        <color rgb="FF0000FF"/>
        <sz val="5.0"/>
      </rPr>
      <t>緊急安全關斷</t>
    </r>
  </si>
  <si>
    <r>
      <rPr>
        <rFont val="Times New Roman"/>
        <color rgb="FF0000FF"/>
        <sz val="5.0"/>
      </rPr>
      <t>8-9-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</si>
  <si>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6-10-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</si>
  <si>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10-35-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</si>
  <si>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9-18-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</si>
  <si>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7-10-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</si>
  <si>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10-36-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</si>
  <si>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3-6-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</si>
  <si>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10-37-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</si>
  <si>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9-19-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</si>
  <si>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10-38-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</si>
  <si>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8-10-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</si>
  <si>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10-39-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</si>
  <si>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9-20-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</si>
  <si>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10-40-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</si>
  <si>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5-11-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</si>
  <si>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FF0000"/>
        <sz val="5.0"/>
      </rPr>
      <t>4-6-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</si>
  <si>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6-11-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</si>
  <si>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10-41-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</si>
  <si>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</si>
  <si>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5-12-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</si>
  <si>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7-11-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</si>
  <si>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1-2-</t>
    </r>
    <r>
      <rPr>
        <rFont val="標楷體"/>
        <color rgb="FFFF0000"/>
        <sz val="5.0"/>
      </rPr>
      <t>值班室或</t>
    </r>
    <r>
      <rPr>
        <rFont val="Times New Roman"/>
        <color rgb="FFFF0000"/>
        <sz val="5.0"/>
      </rPr>
      <t>EWCS</t>
    </r>
    <r>
      <rPr>
        <rFont val="標楷體"/>
        <color rgb="FFFF0000"/>
        <sz val="5.0"/>
      </rPr>
      <t>未通報電池異常</t>
    </r>
  </si>
  <si>
    <r>
      <rPr>
        <rFont val="Times New Roman"/>
        <color rgb="FFFF0000"/>
        <sz val="5.0"/>
      </rPr>
      <t>10-42-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</si>
  <si>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8-11-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</si>
  <si>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6-12-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</si>
  <si>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10-43-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</si>
  <si>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</si>
  <si>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7-12-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</si>
  <si>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10-44-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</si>
  <si>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10-45-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</si>
  <si>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9-23-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</si>
  <si>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10-46-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</si>
  <si>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8-12-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</si>
  <si>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10-47-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</si>
  <si>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9-24-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</si>
  <si>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10-48-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</si>
  <si>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3-7-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</si>
  <si>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5-13-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</si>
  <si>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4-7-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</si>
  <si>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6-13-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</si>
  <si>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10-49-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</si>
  <si>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9-25-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</si>
  <si>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5-14-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</si>
  <si>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7-13-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</si>
  <si>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10-50-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</si>
  <si>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2-4-BESS</t>
    </r>
    <r>
      <rPr>
        <rFont val="標楷體"/>
        <color rgb="FFFF0000"/>
        <sz val="5.0"/>
      </rPr>
      <t>未緊急安全關斷</t>
    </r>
  </si>
  <si>
    <r>
      <rPr>
        <rFont val="Times New Roman"/>
        <color rgb="FF0000FF"/>
        <sz val="5.0"/>
      </rPr>
      <t>8-13-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</si>
  <si>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6-14-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</si>
  <si>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10-51-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</si>
  <si>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9-26-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</si>
  <si>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10-52-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</si>
  <si>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7-14-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</si>
  <si>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3-8-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</si>
  <si>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10-53-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</si>
  <si>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9-27-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</si>
  <si>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10-54-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</si>
  <si>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8-14-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</si>
  <si>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10-55-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</si>
  <si>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9-28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</si>
  <si>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10-56-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</si>
  <si>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5-15-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</si>
  <si>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FF0000"/>
        <sz val="5.0"/>
      </rPr>
      <t>4-8-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</si>
  <si>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6-15-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</si>
  <si>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10-57-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</si>
  <si>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9-29-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</si>
  <si>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5-16-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</si>
  <si>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7-15-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</si>
  <si>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10-58-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</si>
  <si>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8-15-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</si>
  <si>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6-16-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</si>
  <si>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10-59-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</si>
  <si>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9-30-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</si>
  <si>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7-16-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</si>
  <si>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10-60-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</si>
  <si>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10-61-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</si>
  <si>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9-31-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</si>
  <si>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10-62-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</si>
  <si>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8-16-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</si>
  <si>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10-63-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</si>
  <si>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9-32-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</si>
  <si>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10-64-</t>
    </r>
    <r>
      <rPr>
        <rFont val="標楷體"/>
        <color rgb="FFFF0000"/>
        <sz val="5.0"/>
      </rPr>
      <t>熱煙或毒性氣體危害至儲能空間以外</t>
    </r>
  </si>
  <si>
    <t>路徑編號</t>
  </si>
  <si>
    <t>下限</t>
  </si>
  <si>
    <t>上限</t>
  </si>
  <si>
    <t>平均機率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</si>
</sst>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00%"/>
    <numFmt numFmtId="166" formatCode="0.0000%"/>
  </numFmts>
  <fonts count="15">
    <font>
      <sz val="12.0"/>
      <color theme="1"/>
      <name val="Aptos Narrow"/>
      <scheme val="minor"/>
    </font>
    <font>
      <sz val="5.0"/>
      <color theme="1"/>
      <name val="DFKai-SB"/>
    </font>
    <font>
      <sz val="5.0"/>
      <color rgb="FF0000FF"/>
      <name val="DFKai-SB"/>
    </font>
    <font/>
    <font>
      <sz val="5.0"/>
      <color rgb="FFFF0000"/>
      <name val="DFKai-SB"/>
    </font>
    <font>
      <sz val="5.0"/>
      <color theme="1"/>
      <name val="Times New Roman"/>
    </font>
    <font>
      <sz val="5.0"/>
      <color rgb="FF0000FF"/>
      <name val="Times New Roman"/>
    </font>
    <font>
      <sz val="5.0"/>
      <color rgb="FFFF0000"/>
      <name val="Times New Roman"/>
    </font>
    <font>
      <b/>
      <sz val="11.0"/>
      <color theme="1"/>
      <name val="Calibri"/>
    </font>
    <font>
      <b/>
      <sz val="11.0"/>
      <color theme="1"/>
      <name val="PMingLiu"/>
    </font>
    <font>
      <sz val="10.0"/>
      <color theme="1"/>
      <name val="PMingLiu"/>
    </font>
    <font>
      <sz val="11.0"/>
      <color theme="1"/>
      <name val="PMingLiu"/>
    </font>
    <font>
      <sz val="10.0"/>
      <color rgb="FF000000"/>
      <name val="PMingLiu"/>
    </font>
    <font>
      <b/>
      <sz val="10.0"/>
      <color theme="1"/>
      <name val="PMingLiu"/>
    </font>
    <font>
      <b/>
      <color rgb="FF000000"/>
      <name val="新細明體"/>
    </font>
  </fonts>
  <fills count="13">
    <fill>
      <patternFill patternType="none"/>
    </fill>
    <fill>
      <patternFill patternType="lightGray"/>
    </fill>
    <fill>
      <patternFill patternType="solid">
        <fgColor rgb="FFFF8B8B"/>
        <bgColor rgb="FFFF8B8B"/>
      </patternFill>
    </fill>
    <fill>
      <patternFill patternType="solid">
        <fgColor rgb="FFD9D9D9"/>
        <bgColor rgb="FFD9D9D9"/>
      </patternFill>
    </fill>
    <fill>
      <patternFill patternType="solid">
        <fgColor theme="1"/>
        <bgColor theme="1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D9F2D0"/>
        <bgColor rgb="FFD9F2D0"/>
      </patternFill>
    </fill>
    <fill>
      <patternFill patternType="solid">
        <fgColor rgb="FFF9CB9C"/>
        <bgColor rgb="FFF9CB9C"/>
      </patternFill>
    </fill>
    <fill>
      <patternFill patternType="solid">
        <fgColor rgb="FFB3E5A1"/>
        <bgColor rgb="FFB3E5A1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6" fillId="0" fontId="3" numFmtId="0" xfId="0" applyAlignment="1" applyBorder="1" applyFont="1">
      <alignment vertical="center"/>
    </xf>
    <xf borderId="7" fillId="0" fontId="1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vertical="center"/>
    </xf>
    <xf borderId="5" fillId="0" fontId="2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bottom"/>
    </xf>
    <xf borderId="10" fillId="2" fontId="1" numFmtId="0" xfId="0" applyAlignment="1" applyBorder="1" applyFill="1" applyFont="1">
      <alignment horizontal="center" shrinkToFit="0" vertical="center" wrapText="1"/>
    </xf>
    <xf borderId="11" fillId="0" fontId="3" numFmtId="0" xfId="0" applyAlignment="1" applyBorder="1" applyFont="1">
      <alignment vertical="center"/>
    </xf>
    <xf borderId="9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12" fillId="0" fontId="3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bottom"/>
    </xf>
    <xf borderId="10" fillId="2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" fillId="3" fontId="8" numFmtId="0" xfId="0" applyAlignment="1" applyBorder="1" applyFill="1" applyFont="1">
      <alignment horizontal="center" vertical="center"/>
    </xf>
    <xf borderId="13" fillId="3" fontId="8" numFmtId="0" xfId="0" applyAlignment="1" applyBorder="1" applyFont="1">
      <alignment horizontal="center" vertical="center"/>
    </xf>
    <xf borderId="14" fillId="4" fontId="9" numFmtId="0" xfId="0" applyAlignment="1" applyBorder="1" applyFill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2" fillId="5" fontId="11" numFmtId="0" xfId="0" applyAlignment="1" applyBorder="1" applyFill="1" applyFont="1">
      <alignment horizontal="center" vertical="center"/>
    </xf>
    <xf borderId="2" fillId="6" fontId="11" numFmtId="0" xfId="0" applyAlignment="1" applyBorder="1" applyFill="1" applyFont="1">
      <alignment horizontal="center" vertical="center"/>
    </xf>
    <xf borderId="2" fillId="6" fontId="11" numFmtId="164" xfId="0" applyAlignment="1" applyBorder="1" applyFont="1" applyNumberFormat="1">
      <alignment horizontal="center" vertical="center"/>
    </xf>
    <xf borderId="2" fillId="7" fontId="11" numFmtId="0" xfId="0" applyAlignment="1" applyBorder="1" applyFill="1" applyFont="1">
      <alignment horizontal="center" vertical="center"/>
    </xf>
    <xf borderId="14" fillId="4" fontId="11" numFmtId="0" xfId="0" applyAlignment="1" applyBorder="1" applyFont="1">
      <alignment horizontal="center" vertical="center"/>
    </xf>
    <xf borderId="2" fillId="8" fontId="11" numFmtId="0" xfId="0" applyAlignment="1" applyBorder="1" applyFill="1" applyFont="1">
      <alignment horizontal="center" vertical="center"/>
    </xf>
    <xf borderId="2" fillId="8" fontId="11" numFmtId="16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2" fillId="9" fontId="11" numFmtId="0" xfId="0" applyAlignment="1" applyBorder="1" applyFill="1" applyFont="1">
      <alignment horizontal="center" vertical="center"/>
    </xf>
    <xf borderId="2" fillId="10" fontId="11" numFmtId="0" xfId="0" applyAlignment="1" applyBorder="1" applyFill="1" applyFont="1">
      <alignment horizontal="center" vertical="center"/>
    </xf>
    <xf borderId="2" fillId="10" fontId="11" numFmtId="164" xfId="0" applyAlignment="1" applyBorder="1" applyFont="1" applyNumberFormat="1">
      <alignment horizontal="center" vertical="center"/>
    </xf>
    <xf borderId="0" fillId="0" fontId="12" numFmtId="0" xfId="0" applyAlignment="1" applyFont="1">
      <alignment vertical="bottom"/>
    </xf>
    <xf borderId="14" fillId="4" fontId="12" numFmtId="0" xfId="0" applyAlignment="1" applyBorder="1" applyFont="1">
      <alignment vertical="bottom"/>
    </xf>
    <xf borderId="0" fillId="4" fontId="12" numFmtId="0" xfId="0" applyAlignment="1" applyFont="1">
      <alignment vertical="bottom"/>
    </xf>
    <xf borderId="2" fillId="11" fontId="13" numFmtId="0" xfId="0" applyAlignment="1" applyBorder="1" applyFill="1" applyFont="1">
      <alignment horizontal="center" shrinkToFit="0" vertical="center" wrapText="1"/>
    </xf>
    <xf borderId="2" fillId="11" fontId="14" numFmtId="0" xfId="0" applyAlignment="1" applyBorder="1" applyFont="1">
      <alignment horizontal="center" readingOrder="0" vertical="center"/>
    </xf>
    <xf borderId="2" fillId="11" fontId="13" numFmtId="10" xfId="0" applyAlignment="1" applyBorder="1" applyFont="1" applyNumberFormat="1">
      <alignment horizontal="center" shrinkToFit="0" vertical="center" wrapText="1"/>
    </xf>
    <xf borderId="12" fillId="11" fontId="14" numFmtId="165" xfId="0" applyAlignment="1" applyBorder="1" applyFont="1" applyNumberFormat="1">
      <alignment horizontal="center" readingOrder="0" vertical="center"/>
    </xf>
    <xf borderId="2" fillId="12" fontId="10" numFmtId="10" xfId="0" applyAlignment="1" applyBorder="1" applyFill="1" applyFont="1" applyNumberFormat="1">
      <alignment horizontal="center" shrinkToFit="0" vertical="center" wrapText="1"/>
    </xf>
    <xf borderId="2" fillId="7" fontId="10" numFmtId="166" xfId="0" applyAlignment="1" applyBorder="1" applyFont="1" applyNumberFormat="1">
      <alignment horizontal="center" shrinkToFit="0" vertical="center" wrapText="1"/>
    </xf>
    <xf borderId="2" fillId="12" fontId="10" numFmtId="166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3.67"/>
    <col customWidth="1" min="11" max="11" width="8.0"/>
    <col customWidth="1" min="12" max="12" width="3.67"/>
    <col customWidth="1" min="13" max="13" width="8.22"/>
    <col customWidth="1" min="14" max="14" width="3.67"/>
    <col customWidth="1" min="15" max="15" width="8.0"/>
    <col customWidth="1" min="16" max="16" width="3.67"/>
    <col customWidth="1" min="17" max="17" width="8.56"/>
    <col customWidth="1" min="18" max="18" width="3.67"/>
    <col customWidth="1" min="19" max="19" width="8.11"/>
    <col customWidth="1" min="20" max="20" width="12.22"/>
    <col customWidth="1" min="21" max="21" width="15.22"/>
    <col customWidth="1" min="22" max="22" width="3.67"/>
    <col customWidth="1" min="23" max="26" width="6.78"/>
  </cols>
  <sheetData>
    <row r="1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6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6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6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6.75" customHeight="1">
      <c r="A8" s="1"/>
      <c r="B8" s="1"/>
      <c r="C8" s="1"/>
      <c r="D8" s="1"/>
      <c r="E8" s="1"/>
      <c r="F8" s="1"/>
      <c r="G8" s="1"/>
      <c r="H8" s="2" t="s">
        <v>0</v>
      </c>
      <c r="I8" s="3"/>
      <c r="J8" s="4" t="s">
        <v>1</v>
      </c>
      <c r="K8" s="1"/>
      <c r="L8" s="2" t="s">
        <v>2</v>
      </c>
      <c r="M8" s="3"/>
      <c r="N8" s="4" t="s">
        <v>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6.75" customHeight="1">
      <c r="A9" s="1"/>
      <c r="B9" s="1"/>
      <c r="C9" s="1"/>
      <c r="D9" s="1"/>
      <c r="E9" s="1"/>
      <c r="F9" s="1"/>
      <c r="G9" s="1"/>
      <c r="H9" s="5" t="s">
        <v>4</v>
      </c>
      <c r="I9" s="6"/>
      <c r="J9" s="4" t="s">
        <v>5</v>
      </c>
      <c r="K9" s="1"/>
      <c r="L9" s="5" t="s">
        <v>6</v>
      </c>
      <c r="M9" s="6"/>
      <c r="N9" s="4" t="s">
        <v>7</v>
      </c>
      <c r="O9" s="1"/>
      <c r="P9" s="1"/>
      <c r="Q9" s="1"/>
      <c r="R9" s="1"/>
      <c r="S9" s="1"/>
      <c r="T9" s="1"/>
      <c r="U9" s="2" t="s">
        <v>8</v>
      </c>
      <c r="V9" s="4" t="s">
        <v>9</v>
      </c>
      <c r="W9" s="1"/>
      <c r="X9" s="1"/>
      <c r="Y9" s="1"/>
      <c r="Z9" s="1"/>
    </row>
    <row r="10" ht="6.75" customHeight="1">
      <c r="A10" s="1"/>
      <c r="B10" s="1"/>
      <c r="C10" s="1"/>
      <c r="D10" s="1"/>
      <c r="E10" s="1"/>
      <c r="F10" s="1"/>
      <c r="G10" s="1"/>
      <c r="H10" s="7"/>
      <c r="I10" s="1"/>
      <c r="J10" s="2" t="s">
        <v>10</v>
      </c>
      <c r="K10" s="8"/>
      <c r="L10" s="7"/>
      <c r="M10" s="1"/>
      <c r="N10" s="2" t="s">
        <v>11</v>
      </c>
      <c r="O10" s="3"/>
      <c r="P10" s="4" t="s">
        <v>12</v>
      </c>
      <c r="Q10" s="1"/>
      <c r="R10" s="1"/>
      <c r="S10" s="1"/>
      <c r="T10" s="1"/>
      <c r="U10" s="5" t="s">
        <v>13</v>
      </c>
      <c r="V10" s="4" t="s">
        <v>14</v>
      </c>
      <c r="W10" s="1"/>
      <c r="X10" s="1"/>
      <c r="Y10" s="1"/>
      <c r="Z10" s="1"/>
    </row>
    <row r="11" ht="6.75" customHeight="1">
      <c r="A11" s="1"/>
      <c r="B11" s="1"/>
      <c r="C11" s="1"/>
      <c r="D11" s="1"/>
      <c r="E11" s="1"/>
      <c r="F11" s="1"/>
      <c r="G11" s="1"/>
      <c r="H11" s="7"/>
      <c r="I11" s="9"/>
      <c r="J11" s="10" t="s">
        <v>15</v>
      </c>
      <c r="K11" s="11"/>
      <c r="L11" s="7"/>
      <c r="M11" s="1"/>
      <c r="N11" s="5" t="s">
        <v>16</v>
      </c>
      <c r="O11" s="6"/>
      <c r="P11" s="4" t="s">
        <v>17</v>
      </c>
      <c r="Q11" s="1"/>
      <c r="R11" s="1"/>
      <c r="S11" s="1"/>
      <c r="T11" s="2" t="s">
        <v>18</v>
      </c>
      <c r="U11" s="12"/>
      <c r="V11" s="1"/>
      <c r="W11" s="1"/>
      <c r="X11" s="1"/>
      <c r="Y11" s="1"/>
      <c r="Z11" s="1"/>
    </row>
    <row r="12" ht="6.75" customHeight="1">
      <c r="A12" s="1"/>
      <c r="B12" s="1"/>
      <c r="C12" s="1"/>
      <c r="D12" s="1"/>
      <c r="E12" s="1"/>
      <c r="F12" s="1"/>
      <c r="G12" s="1"/>
      <c r="H12" s="7"/>
      <c r="I12" s="9"/>
      <c r="J12" s="1"/>
      <c r="K12" s="1"/>
      <c r="L12" s="13" t="s">
        <v>19</v>
      </c>
      <c r="M12" s="8"/>
      <c r="N12" s="7"/>
      <c r="O12" s="1"/>
      <c r="P12" s="2" t="s">
        <v>20</v>
      </c>
      <c r="Q12" s="3"/>
      <c r="R12" s="4" t="s">
        <v>21</v>
      </c>
      <c r="S12" s="1"/>
      <c r="T12" s="5" t="s">
        <v>22</v>
      </c>
      <c r="U12" s="13" t="s">
        <v>23</v>
      </c>
      <c r="V12" s="4" t="s">
        <v>24</v>
      </c>
      <c r="W12" s="1"/>
      <c r="X12" s="1"/>
      <c r="Y12" s="1"/>
      <c r="Z12" s="1"/>
    </row>
    <row r="13" ht="6.75" customHeight="1">
      <c r="A13" s="1"/>
      <c r="B13" s="1"/>
      <c r="C13" s="1"/>
      <c r="D13" s="1"/>
      <c r="E13" s="1"/>
      <c r="F13" s="14"/>
      <c r="G13" s="1"/>
      <c r="H13" s="7"/>
      <c r="I13" s="9"/>
      <c r="J13" s="1"/>
      <c r="K13" s="1"/>
      <c r="L13" s="15" t="s">
        <v>25</v>
      </c>
      <c r="M13" s="11"/>
      <c r="N13" s="7"/>
      <c r="O13" s="1"/>
      <c r="P13" s="5" t="s">
        <v>26</v>
      </c>
      <c r="Q13" s="6"/>
      <c r="R13" s="4" t="s">
        <v>27</v>
      </c>
      <c r="S13" s="1"/>
      <c r="T13" s="7"/>
      <c r="U13" s="15" t="s">
        <v>28</v>
      </c>
      <c r="V13" s="4" t="s">
        <v>29</v>
      </c>
      <c r="W13" s="1"/>
      <c r="X13" s="1"/>
      <c r="Y13" s="1"/>
      <c r="Z13" s="1"/>
    </row>
    <row r="14" ht="6.75" customHeight="1">
      <c r="A14" s="1"/>
      <c r="B14" s="1"/>
      <c r="C14" s="1"/>
      <c r="D14" s="1"/>
      <c r="E14" s="1"/>
      <c r="F14" s="2" t="s">
        <v>30</v>
      </c>
      <c r="G14" s="8"/>
      <c r="H14" s="7"/>
      <c r="I14" s="9"/>
      <c r="J14" s="1"/>
      <c r="K14" s="1"/>
      <c r="L14" s="1"/>
      <c r="M14" s="1"/>
      <c r="N14" s="7"/>
      <c r="O14" s="1"/>
      <c r="P14" s="7"/>
      <c r="Q14" s="1"/>
      <c r="R14" s="2" t="s">
        <v>31</v>
      </c>
      <c r="S14" s="8"/>
      <c r="T14" s="7"/>
      <c r="U14" s="1"/>
      <c r="V14" s="1"/>
      <c r="W14" s="1"/>
      <c r="X14" s="1"/>
      <c r="Y14" s="1"/>
      <c r="Z14" s="1"/>
    </row>
    <row r="15" ht="6.75" customHeight="1">
      <c r="A15" s="1"/>
      <c r="B15" s="1"/>
      <c r="C15" s="1"/>
      <c r="D15" s="1"/>
      <c r="E15" s="1"/>
      <c r="F15" s="5" t="s">
        <v>32</v>
      </c>
      <c r="G15" s="11"/>
      <c r="H15" s="7"/>
      <c r="I15" s="9"/>
      <c r="J15" s="14"/>
      <c r="K15" s="1"/>
      <c r="L15" s="1"/>
      <c r="M15" s="1"/>
      <c r="N15" s="13" t="s">
        <v>33</v>
      </c>
      <c r="O15" s="8"/>
      <c r="P15" s="7"/>
      <c r="Q15" s="1"/>
      <c r="R15" s="5" t="s">
        <v>34</v>
      </c>
      <c r="S15" s="11"/>
      <c r="T15" s="7"/>
      <c r="U15" s="2" t="s">
        <v>35</v>
      </c>
      <c r="V15" s="4" t="s">
        <v>36</v>
      </c>
      <c r="W15" s="1"/>
      <c r="X15" s="1"/>
      <c r="Y15" s="1"/>
      <c r="Z15" s="1"/>
    </row>
    <row r="16" ht="6.75" customHeight="1">
      <c r="A16" s="1"/>
      <c r="B16" s="1"/>
      <c r="C16" s="1"/>
      <c r="D16" s="1"/>
      <c r="E16" s="1"/>
      <c r="F16" s="7"/>
      <c r="G16" s="9"/>
      <c r="H16" s="7"/>
      <c r="I16" s="9"/>
      <c r="J16" s="16"/>
      <c r="K16" s="1"/>
      <c r="L16" s="1"/>
      <c r="M16" s="1"/>
      <c r="N16" s="15" t="s">
        <v>37</v>
      </c>
      <c r="O16" s="11"/>
      <c r="P16" s="7"/>
      <c r="Q16" s="1"/>
      <c r="R16" s="7"/>
      <c r="S16" s="1"/>
      <c r="T16" s="7"/>
      <c r="U16" s="5" t="s">
        <v>38</v>
      </c>
      <c r="V16" s="4" t="s">
        <v>39</v>
      </c>
      <c r="W16" s="1"/>
      <c r="X16" s="1"/>
      <c r="Y16" s="1"/>
      <c r="Z16" s="1"/>
    </row>
    <row r="17" ht="6.75" customHeight="1">
      <c r="A17" s="1"/>
      <c r="B17" s="1"/>
      <c r="C17" s="1"/>
      <c r="D17" s="1"/>
      <c r="E17" s="1"/>
      <c r="F17" s="7"/>
      <c r="G17" s="1"/>
      <c r="H17" s="7"/>
      <c r="I17" s="9"/>
      <c r="J17" s="1"/>
      <c r="K17" s="1"/>
      <c r="L17" s="1"/>
      <c r="M17" s="1"/>
      <c r="N17" s="1"/>
      <c r="O17" s="1"/>
      <c r="P17" s="7"/>
      <c r="Q17" s="1"/>
      <c r="R17" s="7"/>
      <c r="S17" s="1"/>
      <c r="T17" s="13" t="s">
        <v>40</v>
      </c>
      <c r="U17" s="12"/>
      <c r="V17" s="1"/>
      <c r="W17" s="1"/>
      <c r="X17" s="1"/>
      <c r="Y17" s="1"/>
      <c r="Z17" s="1"/>
    </row>
    <row r="18" ht="6.75" customHeight="1">
      <c r="A18" s="1"/>
      <c r="B18" s="1"/>
      <c r="C18" s="1"/>
      <c r="D18" s="1"/>
      <c r="E18" s="1"/>
      <c r="F18" s="7"/>
      <c r="G18" s="1"/>
      <c r="H18" s="7"/>
      <c r="I18" s="9"/>
      <c r="J18" s="1"/>
      <c r="K18" s="1"/>
      <c r="L18" s="1"/>
      <c r="M18" s="1"/>
      <c r="N18" s="1"/>
      <c r="O18" s="1"/>
      <c r="P18" s="7"/>
      <c r="Q18" s="1"/>
      <c r="R18" s="7"/>
      <c r="S18" s="1"/>
      <c r="T18" s="15" t="s">
        <v>41</v>
      </c>
      <c r="U18" s="13" t="s">
        <v>42</v>
      </c>
      <c r="V18" s="4" t="s">
        <v>43</v>
      </c>
      <c r="W18" s="1"/>
      <c r="X18" s="1"/>
      <c r="Y18" s="1"/>
      <c r="Z18" s="1"/>
    </row>
    <row r="19" ht="6.75" customHeight="1">
      <c r="A19" s="1"/>
      <c r="B19" s="1"/>
      <c r="C19" s="1"/>
      <c r="D19" s="1"/>
      <c r="E19" s="1"/>
      <c r="F19" s="17"/>
      <c r="G19" s="1"/>
      <c r="H19" s="7"/>
      <c r="I19" s="9"/>
      <c r="J19" s="1"/>
      <c r="K19" s="1"/>
      <c r="L19" s="1"/>
      <c r="M19" s="1"/>
      <c r="N19" s="1"/>
      <c r="O19" s="9"/>
      <c r="P19" s="1"/>
      <c r="Q19" s="1"/>
      <c r="R19" s="7"/>
      <c r="S19" s="1"/>
      <c r="T19" s="1"/>
      <c r="U19" s="15" t="s">
        <v>44</v>
      </c>
      <c r="V19" s="4" t="s">
        <v>45</v>
      </c>
      <c r="W19" s="1"/>
      <c r="X19" s="1"/>
      <c r="Y19" s="1"/>
      <c r="Z19" s="1"/>
    </row>
    <row r="20" ht="6.75" customHeight="1">
      <c r="A20" s="1"/>
      <c r="B20" s="1"/>
      <c r="C20" s="1"/>
      <c r="D20" s="1"/>
      <c r="E20" s="1"/>
      <c r="F20" s="17"/>
      <c r="G20" s="1"/>
      <c r="H20" s="7"/>
      <c r="I20" s="9"/>
      <c r="J20" s="1"/>
      <c r="K20" s="1"/>
      <c r="L20" s="1"/>
      <c r="M20" s="1"/>
      <c r="N20" s="1"/>
      <c r="O20" s="1"/>
      <c r="P20" s="13" t="s">
        <v>46</v>
      </c>
      <c r="Q20" s="8"/>
      <c r="R20" s="7"/>
      <c r="S20" s="1"/>
      <c r="T20" s="1"/>
      <c r="U20" s="1"/>
      <c r="V20" s="1"/>
      <c r="W20" s="1"/>
      <c r="X20" s="1"/>
      <c r="Y20" s="1"/>
      <c r="Z20" s="1"/>
    </row>
    <row r="21" ht="6.75" customHeight="1">
      <c r="A21" s="1"/>
      <c r="B21" s="1"/>
      <c r="C21" s="1"/>
      <c r="D21" s="1"/>
      <c r="E21" s="1"/>
      <c r="F21" s="7"/>
      <c r="G21" s="1"/>
      <c r="H21" s="13" t="s">
        <v>47</v>
      </c>
      <c r="I21" s="8"/>
      <c r="J21" s="1"/>
      <c r="K21" s="1"/>
      <c r="L21" s="1"/>
      <c r="M21" s="1"/>
      <c r="N21" s="1"/>
      <c r="O21" s="1"/>
      <c r="P21" s="15" t="s">
        <v>48</v>
      </c>
      <c r="Q21" s="11"/>
      <c r="R21" s="7"/>
      <c r="S21" s="1"/>
      <c r="T21" s="1"/>
      <c r="U21" s="2" t="s">
        <v>49</v>
      </c>
      <c r="V21" s="4" t="s">
        <v>50</v>
      </c>
      <c r="W21" s="1"/>
      <c r="X21" s="1"/>
      <c r="Y21" s="1"/>
      <c r="Z21" s="1"/>
    </row>
    <row r="22" ht="6.75" customHeight="1">
      <c r="A22" s="1"/>
      <c r="B22" s="1"/>
      <c r="C22" s="1"/>
      <c r="D22" s="1"/>
      <c r="E22" s="1"/>
      <c r="F22" s="7"/>
      <c r="G22" s="1"/>
      <c r="H22" s="15" t="s">
        <v>51</v>
      </c>
      <c r="I22" s="11"/>
      <c r="J22" s="1"/>
      <c r="K22" s="1"/>
      <c r="L22" s="1"/>
      <c r="M22" s="1"/>
      <c r="N22" s="1"/>
      <c r="O22" s="1"/>
      <c r="P22" s="1"/>
      <c r="Q22" s="1"/>
      <c r="R22" s="7"/>
      <c r="S22" s="1"/>
      <c r="T22" s="1"/>
      <c r="U22" s="5" t="s">
        <v>52</v>
      </c>
      <c r="V22" s="4" t="s">
        <v>53</v>
      </c>
      <c r="W22" s="1"/>
      <c r="X22" s="1"/>
      <c r="Y22" s="1"/>
      <c r="Z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9"/>
      <c r="J23" s="1"/>
      <c r="K23" s="1"/>
      <c r="L23" s="1"/>
      <c r="M23" s="1"/>
      <c r="N23" s="1"/>
      <c r="O23" s="1"/>
      <c r="P23" s="1"/>
      <c r="Q23" s="1"/>
      <c r="R23" s="7"/>
      <c r="S23" s="1"/>
      <c r="T23" s="2" t="s">
        <v>54</v>
      </c>
      <c r="U23" s="12"/>
      <c r="V23" s="1"/>
      <c r="W23" s="1"/>
      <c r="X23" s="1"/>
      <c r="Y23" s="1"/>
      <c r="Z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9"/>
      <c r="J24" s="1"/>
      <c r="K24" s="1"/>
      <c r="L24" s="1"/>
      <c r="M24" s="1"/>
      <c r="N24" s="1"/>
      <c r="O24" s="1"/>
      <c r="P24" s="1"/>
      <c r="Q24" s="1"/>
      <c r="R24" s="7"/>
      <c r="S24" s="1"/>
      <c r="T24" s="5" t="s">
        <v>55</v>
      </c>
      <c r="U24" s="13" t="s">
        <v>56</v>
      </c>
      <c r="V24" s="4" t="s">
        <v>57</v>
      </c>
      <c r="W24" s="1"/>
      <c r="X24" s="1"/>
      <c r="Y24" s="1"/>
      <c r="Z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9"/>
      <c r="J25" s="1"/>
      <c r="K25" s="1"/>
      <c r="L25" s="1"/>
      <c r="M25" s="1"/>
      <c r="N25" s="1"/>
      <c r="O25" s="1"/>
      <c r="P25" s="1"/>
      <c r="Q25" s="9"/>
      <c r="R25" s="1"/>
      <c r="S25" s="1"/>
      <c r="T25" s="7"/>
      <c r="U25" s="15" t="s">
        <v>58</v>
      </c>
      <c r="V25" s="4" t="s">
        <v>59</v>
      </c>
      <c r="W25" s="1"/>
      <c r="X25" s="1"/>
      <c r="Y25" s="1"/>
      <c r="Z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9"/>
      <c r="J26" s="1"/>
      <c r="K26" s="1"/>
      <c r="L26" s="1"/>
      <c r="M26" s="1"/>
      <c r="N26" s="1"/>
      <c r="O26" s="1"/>
      <c r="P26" s="1"/>
      <c r="Q26" s="1"/>
      <c r="R26" s="13" t="s">
        <v>60</v>
      </c>
      <c r="S26" s="8"/>
      <c r="T26" s="7"/>
      <c r="U26" s="1"/>
      <c r="V26" s="1"/>
      <c r="W26" s="1"/>
      <c r="X26" s="1"/>
      <c r="Y26" s="1"/>
      <c r="Z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9"/>
      <c r="J27" s="1"/>
      <c r="K27" s="1"/>
      <c r="L27" s="1"/>
      <c r="M27" s="1"/>
      <c r="N27" s="1"/>
      <c r="O27" s="1"/>
      <c r="P27" s="1"/>
      <c r="Q27" s="1"/>
      <c r="R27" s="15" t="s">
        <v>61</v>
      </c>
      <c r="S27" s="11"/>
      <c r="T27" s="7"/>
      <c r="U27" s="2" t="s">
        <v>62</v>
      </c>
      <c r="V27" s="4" t="s">
        <v>63</v>
      </c>
      <c r="W27" s="1"/>
      <c r="X27" s="1"/>
      <c r="Y27" s="1"/>
      <c r="Z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7"/>
      <c r="U28" s="5" t="s">
        <v>64</v>
      </c>
      <c r="V28" s="4" t="s">
        <v>65</v>
      </c>
      <c r="W28" s="1"/>
      <c r="X28" s="1"/>
      <c r="Y28" s="1"/>
      <c r="Z28" s="1"/>
    </row>
    <row r="29" ht="6.75" customHeight="1">
      <c r="A29" s="1"/>
      <c r="B29" s="1"/>
      <c r="C29" s="1"/>
      <c r="D29" s="1"/>
      <c r="E29" s="1"/>
      <c r="F29" s="7"/>
      <c r="G29" s="1"/>
      <c r="H29" s="1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3" t="s">
        <v>66</v>
      </c>
      <c r="U29" s="12"/>
      <c r="V29" s="1"/>
      <c r="W29" s="1"/>
      <c r="X29" s="1"/>
      <c r="Y29" s="1"/>
      <c r="Z29" s="1"/>
    </row>
    <row r="30" ht="6.75" customHeight="1">
      <c r="A30" s="1"/>
      <c r="B30" s="1"/>
      <c r="C30" s="1"/>
      <c r="D30" s="1"/>
      <c r="E30" s="1"/>
      <c r="F30" s="7"/>
      <c r="G30" s="1"/>
      <c r="H30" s="1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5" t="s">
        <v>67</v>
      </c>
      <c r="U30" s="13" t="s">
        <v>68</v>
      </c>
      <c r="V30" s="4" t="s">
        <v>69</v>
      </c>
      <c r="W30" s="1"/>
      <c r="X30" s="1"/>
      <c r="Y30" s="1"/>
      <c r="Z30" s="1"/>
    </row>
    <row r="31" ht="6.75" customHeight="1">
      <c r="A31" s="1"/>
      <c r="B31" s="1"/>
      <c r="C31" s="1"/>
      <c r="D31" s="1"/>
      <c r="E31" s="1"/>
      <c r="F31" s="7"/>
      <c r="G31" s="1"/>
      <c r="H31" s="1"/>
      <c r="I31" s="9"/>
      <c r="J31" s="1"/>
      <c r="K31" s="1"/>
      <c r="L31" s="2" t="s">
        <v>70</v>
      </c>
      <c r="M31" s="3"/>
      <c r="N31" s="4" t="s">
        <v>71</v>
      </c>
      <c r="O31" s="1"/>
      <c r="P31" s="1"/>
      <c r="Q31" s="1"/>
      <c r="R31" s="1"/>
      <c r="S31" s="1"/>
      <c r="T31" s="1"/>
      <c r="U31" s="15" t="s">
        <v>72</v>
      </c>
      <c r="V31" s="4" t="s">
        <v>73</v>
      </c>
      <c r="W31" s="1"/>
      <c r="X31" s="1"/>
      <c r="Y31" s="1"/>
      <c r="Z31" s="1"/>
    </row>
    <row r="32" ht="6.75" customHeight="1">
      <c r="A32" s="1"/>
      <c r="B32" s="1"/>
      <c r="C32" s="1"/>
      <c r="D32" s="1"/>
      <c r="E32" s="1"/>
      <c r="F32" s="7"/>
      <c r="G32" s="1"/>
      <c r="H32" s="1"/>
      <c r="I32" s="9"/>
      <c r="J32" s="1"/>
      <c r="K32" s="1"/>
      <c r="L32" s="5" t="s">
        <v>74</v>
      </c>
      <c r="M32" s="6"/>
      <c r="N32" s="4" t="s">
        <v>75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6.75" customHeight="1">
      <c r="A33" s="1"/>
      <c r="B33" s="1"/>
      <c r="C33" s="1"/>
      <c r="D33" s="1"/>
      <c r="E33" s="1"/>
      <c r="F33" s="7"/>
      <c r="G33" s="1"/>
      <c r="H33" s="1"/>
      <c r="I33" s="9"/>
      <c r="J33" s="18" t="s">
        <v>76</v>
      </c>
      <c r="K33" s="8"/>
      <c r="L33" s="7"/>
      <c r="M33" s="1"/>
      <c r="N33" s="2" t="s">
        <v>77</v>
      </c>
      <c r="O33" s="3"/>
      <c r="P33" s="4" t="s">
        <v>78</v>
      </c>
      <c r="Q33" s="1"/>
      <c r="R33" s="1"/>
      <c r="S33" s="1"/>
      <c r="T33" s="1"/>
      <c r="U33" s="2" t="s">
        <v>79</v>
      </c>
      <c r="V33" s="4" t="s">
        <v>80</v>
      </c>
      <c r="W33" s="1"/>
      <c r="X33" s="1"/>
      <c r="Y33" s="1"/>
      <c r="Z33" s="1"/>
    </row>
    <row r="34" ht="6.75" customHeight="1">
      <c r="A34" s="1"/>
      <c r="B34" s="1"/>
      <c r="C34" s="1"/>
      <c r="D34" s="1"/>
      <c r="E34" s="1"/>
      <c r="F34" s="7"/>
      <c r="G34" s="1"/>
      <c r="H34" s="1"/>
      <c r="I34" s="1"/>
      <c r="J34" s="15" t="s">
        <v>81</v>
      </c>
      <c r="K34" s="11"/>
      <c r="L34" s="7"/>
      <c r="M34" s="1"/>
      <c r="N34" s="5" t="s">
        <v>82</v>
      </c>
      <c r="O34" s="6"/>
      <c r="P34" s="4" t="s">
        <v>83</v>
      </c>
      <c r="Q34" s="1"/>
      <c r="R34" s="1"/>
      <c r="S34" s="1"/>
      <c r="T34" s="2" t="s">
        <v>84</v>
      </c>
      <c r="U34" s="5" t="s">
        <v>85</v>
      </c>
      <c r="V34" s="4" t="s">
        <v>86</v>
      </c>
      <c r="W34" s="1"/>
      <c r="X34" s="1"/>
      <c r="Y34" s="1"/>
      <c r="Z34" s="1"/>
    </row>
    <row r="35" ht="6.75" customHeight="1">
      <c r="A35" s="1"/>
      <c r="B35" s="1"/>
      <c r="C35" s="1"/>
      <c r="D35" s="1"/>
      <c r="E35" s="1"/>
      <c r="F35" s="7"/>
      <c r="G35" s="1"/>
      <c r="H35" s="1"/>
      <c r="I35" s="1"/>
      <c r="J35" s="1"/>
      <c r="K35" s="1"/>
      <c r="L35" s="13" t="s">
        <v>87</v>
      </c>
      <c r="M35" s="8"/>
      <c r="N35" s="7"/>
      <c r="O35" s="1"/>
      <c r="P35" s="2" t="s">
        <v>88</v>
      </c>
      <c r="Q35" s="3"/>
      <c r="R35" s="4" t="s">
        <v>89</v>
      </c>
      <c r="S35" s="1"/>
      <c r="T35" s="5" t="s">
        <v>90</v>
      </c>
      <c r="U35" s="12"/>
      <c r="V35" s="1"/>
      <c r="W35" s="1"/>
      <c r="X35" s="1"/>
      <c r="Y35" s="1"/>
      <c r="Z35" s="1"/>
    </row>
    <row r="36" ht="6.75" customHeight="1">
      <c r="A36" s="1"/>
      <c r="B36" s="1"/>
      <c r="C36" s="1"/>
      <c r="D36" s="1"/>
      <c r="E36" s="1"/>
      <c r="F36" s="7"/>
      <c r="G36" s="1"/>
      <c r="H36" s="1"/>
      <c r="I36" s="1"/>
      <c r="J36" s="1"/>
      <c r="K36" s="1"/>
      <c r="L36" s="15" t="s">
        <v>91</v>
      </c>
      <c r="M36" s="11"/>
      <c r="N36" s="7"/>
      <c r="O36" s="1"/>
      <c r="P36" s="5" t="s">
        <v>92</v>
      </c>
      <c r="Q36" s="6"/>
      <c r="R36" s="4" t="s">
        <v>93</v>
      </c>
      <c r="S36" s="1"/>
      <c r="T36" s="7"/>
      <c r="U36" s="13" t="s">
        <v>94</v>
      </c>
      <c r="V36" s="4" t="s">
        <v>95</v>
      </c>
      <c r="W36" s="1"/>
      <c r="X36" s="1"/>
      <c r="Y36" s="1"/>
      <c r="Z36" s="1"/>
    </row>
    <row r="37" ht="6.75" customHeight="1">
      <c r="A37" s="1"/>
      <c r="B37" s="1"/>
      <c r="C37" s="1"/>
      <c r="D37" s="1"/>
      <c r="E37" s="1"/>
      <c r="F37" s="7"/>
      <c r="G37" s="1"/>
      <c r="H37" s="1"/>
      <c r="I37" s="1"/>
      <c r="J37" s="1"/>
      <c r="K37" s="1"/>
      <c r="L37" s="1"/>
      <c r="M37" s="1"/>
      <c r="N37" s="7"/>
      <c r="O37" s="1"/>
      <c r="P37" s="7"/>
      <c r="Q37" s="1"/>
      <c r="R37" s="2" t="s">
        <v>96</v>
      </c>
      <c r="S37" s="8"/>
      <c r="T37" s="7"/>
      <c r="U37" s="15" t="s">
        <v>97</v>
      </c>
      <c r="V37" s="4" t="s">
        <v>98</v>
      </c>
      <c r="W37" s="1"/>
      <c r="X37" s="1"/>
      <c r="Y37" s="1"/>
      <c r="Z37" s="1"/>
    </row>
    <row r="38" ht="6.75" customHeight="1">
      <c r="A38" s="1"/>
      <c r="B38" s="1"/>
      <c r="C38" s="1"/>
      <c r="D38" s="2" t="s">
        <v>99</v>
      </c>
      <c r="E38" s="8"/>
      <c r="F38" s="7"/>
      <c r="G38" s="1"/>
      <c r="H38" s="1"/>
      <c r="I38" s="1"/>
      <c r="J38" s="1"/>
      <c r="K38" s="1"/>
      <c r="L38" s="1"/>
      <c r="M38" s="1"/>
      <c r="N38" s="13" t="s">
        <v>100</v>
      </c>
      <c r="O38" s="8"/>
      <c r="P38" s="7"/>
      <c r="Q38" s="1"/>
      <c r="R38" s="5" t="s">
        <v>101</v>
      </c>
      <c r="S38" s="11"/>
      <c r="T38" s="7"/>
      <c r="U38" s="1"/>
      <c r="V38" s="1"/>
      <c r="W38" s="1"/>
      <c r="X38" s="1"/>
      <c r="Y38" s="1"/>
      <c r="Z38" s="1"/>
    </row>
    <row r="39" ht="6.75" customHeight="1">
      <c r="A39" s="1"/>
      <c r="B39" s="1"/>
      <c r="C39" s="1"/>
      <c r="D39" s="5" t="s">
        <v>102</v>
      </c>
      <c r="E39" s="11"/>
      <c r="F39" s="7"/>
      <c r="G39" s="1"/>
      <c r="H39" s="1"/>
      <c r="I39" s="1"/>
      <c r="J39" s="1"/>
      <c r="K39" s="1"/>
      <c r="L39" s="1"/>
      <c r="M39" s="1"/>
      <c r="N39" s="15" t="s">
        <v>103</v>
      </c>
      <c r="O39" s="11"/>
      <c r="P39" s="7"/>
      <c r="Q39" s="1"/>
      <c r="R39" s="7"/>
      <c r="S39" s="1"/>
      <c r="T39" s="7"/>
      <c r="U39" s="2" t="s">
        <v>104</v>
      </c>
      <c r="V39" s="4" t="s">
        <v>105</v>
      </c>
      <c r="W39" s="1"/>
      <c r="X39" s="1"/>
      <c r="Y39" s="1"/>
      <c r="Z39" s="1"/>
    </row>
    <row r="40" ht="6.75" customHeight="1">
      <c r="A40" s="1"/>
      <c r="B40" s="1"/>
      <c r="C40" s="1"/>
      <c r="D40" s="7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7"/>
      <c r="Q40" s="1"/>
      <c r="R40" s="7"/>
      <c r="S40" s="1"/>
      <c r="T40" s="7"/>
      <c r="U40" s="5" t="s">
        <v>106</v>
      </c>
      <c r="V40" s="4" t="s">
        <v>107</v>
      </c>
      <c r="W40" s="1"/>
      <c r="X40" s="1"/>
      <c r="Y40" s="1"/>
      <c r="Z40" s="1"/>
    </row>
    <row r="41" ht="6.75" customHeight="1">
      <c r="A41" s="1"/>
      <c r="B41" s="1"/>
      <c r="C41" s="1"/>
      <c r="D41" s="7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7"/>
      <c r="Q41" s="1"/>
      <c r="R41" s="7"/>
      <c r="S41" s="1"/>
      <c r="T41" s="13" t="s">
        <v>108</v>
      </c>
      <c r="U41" s="12"/>
      <c r="V41" s="1"/>
      <c r="W41" s="1"/>
      <c r="X41" s="1"/>
      <c r="Y41" s="1"/>
      <c r="Z41" s="1"/>
    </row>
    <row r="42" ht="6.75" customHeight="1">
      <c r="A42" s="1"/>
      <c r="B42" s="1"/>
      <c r="C42" s="1"/>
      <c r="D42" s="7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3" t="s">
        <v>109</v>
      </c>
      <c r="Q42" s="8"/>
      <c r="R42" s="7"/>
      <c r="S42" s="1"/>
      <c r="T42" s="15" t="s">
        <v>110</v>
      </c>
      <c r="U42" s="13" t="s">
        <v>111</v>
      </c>
      <c r="V42" s="4" t="s">
        <v>112</v>
      </c>
      <c r="W42" s="1"/>
      <c r="X42" s="1"/>
      <c r="Y42" s="1"/>
      <c r="Z42" s="1"/>
    </row>
    <row r="43" ht="6.75" customHeight="1">
      <c r="A43" s="1"/>
      <c r="B43" s="1"/>
      <c r="C43" s="1"/>
      <c r="D43" s="17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5" t="s">
        <v>113</v>
      </c>
      <c r="Q43" s="11"/>
      <c r="R43" s="7"/>
      <c r="S43" s="1"/>
      <c r="T43" s="1"/>
      <c r="U43" s="15" t="s">
        <v>114</v>
      </c>
      <c r="V43" s="4" t="s">
        <v>115</v>
      </c>
      <c r="W43" s="1"/>
      <c r="X43" s="1"/>
      <c r="Y43" s="1"/>
      <c r="Z43" s="1"/>
    </row>
    <row r="44" ht="6.75" customHeight="1">
      <c r="A44" s="1"/>
      <c r="B44" s="1"/>
      <c r="C44" s="1"/>
      <c r="D44" s="17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7"/>
      <c r="S44" s="1"/>
      <c r="T44" s="1"/>
      <c r="U44" s="1"/>
      <c r="V44" s="1"/>
      <c r="W44" s="1"/>
      <c r="X44" s="1"/>
      <c r="Y44" s="1"/>
      <c r="Z44" s="1"/>
    </row>
    <row r="45" ht="6.75" customHeight="1">
      <c r="A45" s="1"/>
      <c r="B45" s="1"/>
      <c r="C45" s="1"/>
      <c r="D45" s="7"/>
      <c r="E45" s="1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7"/>
      <c r="S45" s="1"/>
      <c r="T45" s="1"/>
      <c r="U45" s="2" t="s">
        <v>116</v>
      </c>
      <c r="V45" s="4" t="s">
        <v>117</v>
      </c>
      <c r="W45" s="1"/>
      <c r="X45" s="1"/>
      <c r="Y45" s="1"/>
      <c r="Z45" s="1"/>
    </row>
    <row r="46" ht="6.75" customHeight="1">
      <c r="A46" s="1"/>
      <c r="B46" s="1"/>
      <c r="C46" s="1"/>
      <c r="D46" s="7"/>
      <c r="E46" s="1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7"/>
      <c r="S46" s="1"/>
      <c r="T46" s="2" t="s">
        <v>118</v>
      </c>
      <c r="U46" s="5" t="s">
        <v>119</v>
      </c>
      <c r="V46" s="4" t="s">
        <v>120</v>
      </c>
      <c r="W46" s="1"/>
      <c r="X46" s="1"/>
      <c r="Y46" s="1"/>
      <c r="Z46" s="1"/>
    </row>
    <row r="47" ht="6.75" customHeight="1">
      <c r="A47" s="1"/>
      <c r="B47" s="1"/>
      <c r="C47" s="1"/>
      <c r="D47" s="7"/>
      <c r="E47" s="1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7"/>
      <c r="S47" s="1"/>
      <c r="T47" s="5" t="s">
        <v>121</v>
      </c>
      <c r="U47" s="12"/>
      <c r="V47" s="1"/>
      <c r="W47" s="1"/>
      <c r="X47" s="1"/>
      <c r="Y47" s="1"/>
      <c r="Z47" s="1"/>
    </row>
    <row r="48" ht="6.75" customHeight="1">
      <c r="A48" s="1"/>
      <c r="B48" s="1"/>
      <c r="C48" s="1"/>
      <c r="D48" s="7"/>
      <c r="E48" s="1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9"/>
      <c r="R48" s="1"/>
      <c r="S48" s="9"/>
      <c r="T48" s="1"/>
      <c r="U48" s="13" t="s">
        <v>122</v>
      </c>
      <c r="V48" s="4" t="s">
        <v>123</v>
      </c>
      <c r="W48" s="1"/>
      <c r="X48" s="1"/>
      <c r="Y48" s="1"/>
      <c r="Z48" s="1"/>
    </row>
    <row r="49" ht="6.75" customHeight="1">
      <c r="A49" s="1"/>
      <c r="B49" s="1"/>
      <c r="C49" s="1"/>
      <c r="D49" s="7"/>
      <c r="E49" s="1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 t="s">
        <v>124</v>
      </c>
      <c r="S49" s="8"/>
      <c r="T49" s="7"/>
      <c r="U49" s="15" t="s">
        <v>125</v>
      </c>
      <c r="V49" s="4" t="s">
        <v>126</v>
      </c>
      <c r="W49" s="1"/>
      <c r="X49" s="1"/>
      <c r="Y49" s="1"/>
      <c r="Z49" s="1"/>
    </row>
    <row r="50" ht="6.75" customHeight="1">
      <c r="A50" s="1"/>
      <c r="B50" s="1"/>
      <c r="C50" s="1"/>
      <c r="D50" s="7"/>
      <c r="E50" s="1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5" t="s">
        <v>127</v>
      </c>
      <c r="S50" s="11"/>
      <c r="T50" s="7"/>
      <c r="U50" s="1"/>
      <c r="V50" s="1"/>
      <c r="W50" s="1"/>
      <c r="X50" s="1"/>
      <c r="Y50" s="1"/>
      <c r="Z50" s="1"/>
    </row>
    <row r="51" ht="6.75" customHeight="1">
      <c r="A51" s="1"/>
      <c r="B51" s="1"/>
      <c r="C51" s="1"/>
      <c r="D51" s="7"/>
      <c r="E51" s="1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"/>
      <c r="U51" s="2" t="s">
        <v>128</v>
      </c>
      <c r="V51" s="4" t="s">
        <v>129</v>
      </c>
      <c r="W51" s="1"/>
      <c r="X51" s="1"/>
      <c r="Y51" s="1"/>
      <c r="Z51" s="1"/>
    </row>
    <row r="52" ht="6.75" customHeight="1">
      <c r="A52" s="1"/>
      <c r="B52" s="1"/>
      <c r="C52" s="1"/>
      <c r="D52" s="7"/>
      <c r="E52" s="1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"/>
      <c r="U52" s="5" t="s">
        <v>130</v>
      </c>
      <c r="V52" s="4" t="s">
        <v>131</v>
      </c>
      <c r="W52" s="1"/>
      <c r="X52" s="1"/>
      <c r="Y52" s="1"/>
      <c r="Z52" s="1"/>
    </row>
    <row r="53" ht="6.75" customHeight="1">
      <c r="A53" s="1"/>
      <c r="B53" s="1"/>
      <c r="C53" s="1"/>
      <c r="D53" s="7"/>
      <c r="E53" s="1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3" t="s">
        <v>132</v>
      </c>
      <c r="U53" s="12"/>
      <c r="V53" s="1"/>
      <c r="W53" s="1"/>
      <c r="X53" s="1"/>
      <c r="Y53" s="1"/>
      <c r="Z53" s="1"/>
    </row>
    <row r="54" ht="6.75" customHeight="1">
      <c r="A54" s="1"/>
      <c r="B54" s="1"/>
      <c r="C54" s="1"/>
      <c r="D54" s="7"/>
      <c r="E54" s="1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5" t="s">
        <v>133</v>
      </c>
      <c r="U54" s="13" t="s">
        <v>134</v>
      </c>
      <c r="V54" s="4" t="s">
        <v>135</v>
      </c>
      <c r="W54" s="1"/>
      <c r="X54" s="1"/>
      <c r="Y54" s="1"/>
      <c r="Z54" s="1"/>
    </row>
    <row r="55" ht="6.75" customHeight="1">
      <c r="A55" s="1"/>
      <c r="B55" s="1"/>
      <c r="C55" s="1"/>
      <c r="D55" s="7"/>
      <c r="E55" s="1"/>
      <c r="F55" s="7"/>
      <c r="G55" s="1"/>
      <c r="H55" s="2" t="s">
        <v>136</v>
      </c>
      <c r="I55" s="3"/>
      <c r="J55" s="4" t="s">
        <v>137</v>
      </c>
      <c r="K55" s="1"/>
      <c r="L55" s="2" t="s">
        <v>138</v>
      </c>
      <c r="M55" s="3"/>
      <c r="N55" s="4" t="s">
        <v>139</v>
      </c>
      <c r="O55" s="1"/>
      <c r="P55" s="1"/>
      <c r="Q55" s="1"/>
      <c r="R55" s="1"/>
      <c r="S55" s="1"/>
      <c r="T55" s="1"/>
      <c r="U55" s="15" t="s">
        <v>140</v>
      </c>
      <c r="V55" s="4" t="s">
        <v>141</v>
      </c>
      <c r="W55" s="1"/>
      <c r="X55" s="1"/>
      <c r="Y55" s="1"/>
      <c r="Z55" s="1"/>
    </row>
    <row r="56" ht="6.75" customHeight="1">
      <c r="A56" s="1"/>
      <c r="B56" s="1"/>
      <c r="C56" s="1"/>
      <c r="D56" s="7"/>
      <c r="E56" s="1"/>
      <c r="F56" s="7"/>
      <c r="G56" s="1"/>
      <c r="H56" s="5" t="s">
        <v>142</v>
      </c>
      <c r="I56" s="6"/>
      <c r="J56" s="4" t="s">
        <v>143</v>
      </c>
      <c r="K56" s="1"/>
      <c r="L56" s="5" t="s">
        <v>144</v>
      </c>
      <c r="M56" s="6"/>
      <c r="N56" s="4" t="s">
        <v>145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6.75" customHeight="1">
      <c r="A57" s="1"/>
      <c r="B57" s="1"/>
      <c r="C57" s="1"/>
      <c r="D57" s="7"/>
      <c r="E57" s="1"/>
      <c r="F57" s="7"/>
      <c r="G57" s="1"/>
      <c r="H57" s="7"/>
      <c r="I57" s="1"/>
      <c r="J57" s="14"/>
      <c r="K57" s="1"/>
      <c r="L57" s="7"/>
      <c r="M57" s="1"/>
      <c r="N57" s="2" t="s">
        <v>146</v>
      </c>
      <c r="O57" s="3"/>
      <c r="P57" s="4" t="s">
        <v>147</v>
      </c>
      <c r="Q57" s="1"/>
      <c r="R57" s="1"/>
      <c r="S57" s="1"/>
      <c r="T57" s="1"/>
      <c r="U57" s="2" t="s">
        <v>148</v>
      </c>
      <c r="V57" s="4" t="s">
        <v>149</v>
      </c>
      <c r="W57" s="1"/>
      <c r="X57" s="1"/>
      <c r="Y57" s="1"/>
      <c r="Z57" s="1"/>
    </row>
    <row r="58" ht="6.75" customHeight="1">
      <c r="A58" s="1"/>
      <c r="B58" s="1"/>
      <c r="C58" s="1"/>
      <c r="D58" s="7"/>
      <c r="E58" s="1"/>
      <c r="F58" s="7"/>
      <c r="G58" s="1"/>
      <c r="H58" s="7"/>
      <c r="I58" s="1"/>
      <c r="J58" s="2" t="s">
        <v>150</v>
      </c>
      <c r="K58" s="8"/>
      <c r="L58" s="7"/>
      <c r="M58" s="1"/>
      <c r="N58" s="5" t="s">
        <v>151</v>
      </c>
      <c r="O58" s="6"/>
      <c r="P58" s="4" t="s">
        <v>152</v>
      </c>
      <c r="Q58" s="1"/>
      <c r="R58" s="1"/>
      <c r="S58" s="1"/>
      <c r="T58" s="2" t="s">
        <v>153</v>
      </c>
      <c r="U58" s="5" t="s">
        <v>154</v>
      </c>
      <c r="V58" s="4" t="s">
        <v>155</v>
      </c>
      <c r="W58" s="1"/>
      <c r="X58" s="1"/>
      <c r="Y58" s="1"/>
      <c r="Z58" s="1"/>
    </row>
    <row r="59" ht="6.75" customHeight="1">
      <c r="A59" s="1"/>
      <c r="B59" s="1"/>
      <c r="C59" s="1"/>
      <c r="D59" s="7"/>
      <c r="E59" s="1"/>
      <c r="F59" s="7"/>
      <c r="G59" s="1"/>
      <c r="H59" s="7"/>
      <c r="I59" s="9"/>
      <c r="J59" s="10" t="s">
        <v>156</v>
      </c>
      <c r="K59" s="11"/>
      <c r="L59" s="7"/>
      <c r="M59" s="1"/>
      <c r="N59" s="7"/>
      <c r="O59" s="1"/>
      <c r="P59" s="2" t="s">
        <v>157</v>
      </c>
      <c r="Q59" s="3"/>
      <c r="R59" s="4" t="s">
        <v>158</v>
      </c>
      <c r="S59" s="1"/>
      <c r="T59" s="5" t="s">
        <v>159</v>
      </c>
      <c r="U59" s="12"/>
      <c r="V59" s="1"/>
      <c r="W59" s="1"/>
      <c r="X59" s="1"/>
      <c r="Y59" s="1"/>
      <c r="Z59" s="1"/>
    </row>
    <row r="60" ht="6.75" customHeight="1">
      <c r="A60" s="1"/>
      <c r="B60" s="1"/>
      <c r="C60" s="1"/>
      <c r="D60" s="7"/>
      <c r="E60" s="1"/>
      <c r="F60" s="7"/>
      <c r="G60" s="1"/>
      <c r="H60" s="7"/>
      <c r="I60" s="9"/>
      <c r="J60" s="1"/>
      <c r="K60" s="9"/>
      <c r="L60" s="13" t="s">
        <v>160</v>
      </c>
      <c r="M60" s="8"/>
      <c r="N60" s="7"/>
      <c r="O60" s="1"/>
      <c r="P60" s="5" t="s">
        <v>161</v>
      </c>
      <c r="Q60" s="6"/>
      <c r="R60" s="4" t="s">
        <v>162</v>
      </c>
      <c r="S60" s="9"/>
      <c r="T60" s="1"/>
      <c r="U60" s="13" t="s">
        <v>163</v>
      </c>
      <c r="V60" s="4" t="s">
        <v>164</v>
      </c>
      <c r="W60" s="1"/>
      <c r="X60" s="1"/>
      <c r="Y60" s="1"/>
      <c r="Z60" s="1"/>
    </row>
    <row r="61" ht="6.75" customHeight="1">
      <c r="A61" s="1"/>
      <c r="B61" s="1"/>
      <c r="C61" s="1"/>
      <c r="D61" s="7"/>
      <c r="E61" s="1"/>
      <c r="F61" s="7"/>
      <c r="G61" s="1"/>
      <c r="H61" s="7"/>
      <c r="I61" s="9"/>
      <c r="J61" s="1"/>
      <c r="K61" s="1"/>
      <c r="L61" s="15" t="s">
        <v>165</v>
      </c>
      <c r="M61" s="11"/>
      <c r="N61" s="7"/>
      <c r="O61" s="1"/>
      <c r="P61" s="7"/>
      <c r="Q61" s="1"/>
      <c r="R61" s="2" t="s">
        <v>166</v>
      </c>
      <c r="S61" s="8"/>
      <c r="T61" s="7"/>
      <c r="U61" s="15" t="s">
        <v>167</v>
      </c>
      <c r="V61" s="4" t="s">
        <v>168</v>
      </c>
      <c r="W61" s="1"/>
      <c r="X61" s="1"/>
      <c r="Y61" s="1"/>
      <c r="Z61" s="1"/>
    </row>
    <row r="62" ht="6.75" customHeight="1">
      <c r="A62" s="1"/>
      <c r="B62" s="1"/>
      <c r="C62" s="1"/>
      <c r="D62" s="7"/>
      <c r="E62" s="1"/>
      <c r="F62" s="13" t="s">
        <v>169</v>
      </c>
      <c r="G62" s="8"/>
      <c r="H62" s="7"/>
      <c r="I62" s="9"/>
      <c r="J62" s="1"/>
      <c r="K62" s="1"/>
      <c r="L62" s="1"/>
      <c r="M62" s="9"/>
      <c r="N62" s="1"/>
      <c r="O62" s="9"/>
      <c r="P62" s="1"/>
      <c r="Q62" s="1"/>
      <c r="R62" s="5" t="s">
        <v>170</v>
      </c>
      <c r="S62" s="11"/>
      <c r="T62" s="7"/>
      <c r="U62" s="1"/>
      <c r="V62" s="1"/>
      <c r="W62" s="1"/>
      <c r="X62" s="1"/>
      <c r="Y62" s="1"/>
      <c r="Z62" s="1"/>
    </row>
    <row r="63" ht="6.75" customHeight="1">
      <c r="A63" s="1"/>
      <c r="B63" s="1"/>
      <c r="C63" s="1"/>
      <c r="D63" s="7"/>
      <c r="E63" s="1"/>
      <c r="F63" s="15" t="s">
        <v>171</v>
      </c>
      <c r="G63" s="11"/>
      <c r="H63" s="7"/>
      <c r="I63" s="9"/>
      <c r="J63" s="14"/>
      <c r="K63" s="1"/>
      <c r="L63" s="1"/>
      <c r="M63" s="1"/>
      <c r="N63" s="13" t="s">
        <v>172</v>
      </c>
      <c r="O63" s="8"/>
      <c r="P63" s="7"/>
      <c r="Q63" s="1"/>
      <c r="R63" s="7"/>
      <c r="S63" s="1"/>
      <c r="T63" s="7"/>
      <c r="U63" s="2" t="s">
        <v>173</v>
      </c>
      <c r="V63" s="4" t="s">
        <v>174</v>
      </c>
      <c r="W63" s="1"/>
      <c r="X63" s="1"/>
      <c r="Y63" s="1"/>
      <c r="Z63" s="1"/>
    </row>
    <row r="64" ht="6.75" customHeight="1">
      <c r="A64" s="1"/>
      <c r="B64" s="1"/>
      <c r="C64" s="1"/>
      <c r="D64" s="7"/>
      <c r="E64" s="1"/>
      <c r="F64" s="1"/>
      <c r="G64" s="9"/>
      <c r="H64" s="7"/>
      <c r="I64" s="9"/>
      <c r="J64" s="14"/>
      <c r="K64" s="1"/>
      <c r="L64" s="1"/>
      <c r="M64" s="1"/>
      <c r="N64" s="15" t="s">
        <v>175</v>
      </c>
      <c r="O64" s="11"/>
      <c r="P64" s="7"/>
      <c r="Q64" s="1"/>
      <c r="R64" s="7"/>
      <c r="S64" s="1"/>
      <c r="T64" s="7"/>
      <c r="U64" s="5" t="s">
        <v>176</v>
      </c>
      <c r="V64" s="4" t="s">
        <v>177</v>
      </c>
      <c r="W64" s="1"/>
      <c r="X64" s="1"/>
      <c r="Y64" s="1"/>
      <c r="Z64" s="1"/>
    </row>
    <row r="65" ht="6.75" customHeight="1">
      <c r="A65" s="1"/>
      <c r="B65" s="1"/>
      <c r="C65" s="1"/>
      <c r="D65" s="7"/>
      <c r="E65" s="1"/>
      <c r="F65" s="1"/>
      <c r="G65" s="1"/>
      <c r="H65" s="7"/>
      <c r="I65" s="9"/>
      <c r="J65" s="1"/>
      <c r="K65" s="1"/>
      <c r="L65" s="1"/>
      <c r="M65" s="1"/>
      <c r="N65" s="1"/>
      <c r="O65" s="1"/>
      <c r="P65" s="7"/>
      <c r="Q65" s="1"/>
      <c r="R65" s="7"/>
      <c r="S65" s="1"/>
      <c r="T65" s="13" t="s">
        <v>178</v>
      </c>
      <c r="U65" s="12"/>
      <c r="V65" s="1"/>
      <c r="W65" s="1"/>
      <c r="X65" s="1"/>
      <c r="Y65" s="1"/>
      <c r="Z65" s="1"/>
    </row>
    <row r="66" ht="6.75" customHeight="1">
      <c r="A66" s="1"/>
      <c r="B66" s="1"/>
      <c r="C66" s="1"/>
      <c r="D66" s="7"/>
      <c r="E66" s="1"/>
      <c r="F66" s="1"/>
      <c r="G66" s="1"/>
      <c r="H66" s="7"/>
      <c r="I66" s="9"/>
      <c r="J66" s="1"/>
      <c r="K66" s="1"/>
      <c r="L66" s="1"/>
      <c r="M66" s="1"/>
      <c r="N66" s="1"/>
      <c r="O66" s="9"/>
      <c r="P66" s="1"/>
      <c r="Q66" s="9"/>
      <c r="R66" s="1"/>
      <c r="S66" s="1"/>
      <c r="T66" s="15" t="s">
        <v>179</v>
      </c>
      <c r="U66" s="13" t="s">
        <v>180</v>
      </c>
      <c r="V66" s="4" t="s">
        <v>181</v>
      </c>
      <c r="W66" s="1"/>
      <c r="X66" s="1"/>
      <c r="Y66" s="1"/>
      <c r="Z66" s="1"/>
    </row>
    <row r="67" ht="6.75" customHeight="1">
      <c r="A67" s="1"/>
      <c r="B67" s="1"/>
      <c r="C67" s="1"/>
      <c r="D67" s="7"/>
      <c r="E67" s="1"/>
      <c r="F67" s="1"/>
      <c r="G67" s="1"/>
      <c r="H67" s="7"/>
      <c r="I67" s="9"/>
      <c r="J67" s="1"/>
      <c r="K67" s="1"/>
      <c r="L67" s="1"/>
      <c r="M67" s="1"/>
      <c r="N67" s="1"/>
      <c r="O67" s="1"/>
      <c r="P67" s="13" t="s">
        <v>182</v>
      </c>
      <c r="Q67" s="8"/>
      <c r="R67" s="7"/>
      <c r="S67" s="1"/>
      <c r="T67" s="1"/>
      <c r="U67" s="15" t="s">
        <v>183</v>
      </c>
      <c r="V67" s="4" t="s">
        <v>184</v>
      </c>
      <c r="W67" s="1"/>
      <c r="X67" s="1"/>
      <c r="Y67" s="1"/>
      <c r="Z67" s="1"/>
    </row>
    <row r="68" ht="6.75" customHeight="1">
      <c r="A68" s="1"/>
      <c r="B68" s="1"/>
      <c r="C68" s="1"/>
      <c r="D68" s="7"/>
      <c r="E68" s="1"/>
      <c r="F68" s="1"/>
      <c r="G68" s="1"/>
      <c r="H68" s="7"/>
      <c r="I68" s="9"/>
      <c r="J68" s="1"/>
      <c r="K68" s="1"/>
      <c r="L68" s="1"/>
      <c r="M68" s="1"/>
      <c r="N68" s="1"/>
      <c r="O68" s="1"/>
      <c r="P68" s="15" t="s">
        <v>185</v>
      </c>
      <c r="Q68" s="11"/>
      <c r="R68" s="7"/>
      <c r="S68" s="1"/>
      <c r="T68" s="1"/>
      <c r="U68" s="1"/>
      <c r="V68" s="1"/>
      <c r="W68" s="1"/>
      <c r="X68" s="1"/>
      <c r="Y68" s="1"/>
      <c r="Z68" s="1"/>
    </row>
    <row r="69" ht="6.75" customHeight="1">
      <c r="A69" s="1"/>
      <c r="B69" s="1"/>
      <c r="C69" s="1"/>
      <c r="D69" s="7"/>
      <c r="E69" s="1"/>
      <c r="F69" s="1"/>
      <c r="G69" s="1"/>
      <c r="H69" s="13" t="s">
        <v>186</v>
      </c>
      <c r="I69" s="8"/>
      <c r="J69" s="1"/>
      <c r="K69" s="1"/>
      <c r="L69" s="1"/>
      <c r="M69" s="1"/>
      <c r="N69" s="1"/>
      <c r="O69" s="1"/>
      <c r="P69" s="1"/>
      <c r="Q69" s="1"/>
      <c r="R69" s="7"/>
      <c r="S69" s="1"/>
      <c r="T69" s="1"/>
      <c r="U69" s="2" t="s">
        <v>187</v>
      </c>
      <c r="V69" s="4" t="s">
        <v>188</v>
      </c>
      <c r="W69" s="1"/>
      <c r="X69" s="1"/>
      <c r="Y69" s="1"/>
      <c r="Z69" s="1"/>
    </row>
    <row r="70" ht="6.75" customHeight="1">
      <c r="A70" s="1"/>
      <c r="B70" s="1"/>
      <c r="C70" s="1"/>
      <c r="D70" s="7"/>
      <c r="E70" s="1"/>
      <c r="F70" s="1"/>
      <c r="G70" s="1"/>
      <c r="H70" s="15" t="s">
        <v>189</v>
      </c>
      <c r="I70" s="11"/>
      <c r="J70" s="1"/>
      <c r="K70" s="1"/>
      <c r="L70" s="1"/>
      <c r="M70" s="1"/>
      <c r="N70" s="1"/>
      <c r="O70" s="1"/>
      <c r="P70" s="1"/>
      <c r="Q70" s="1"/>
      <c r="R70" s="7"/>
      <c r="S70" s="1"/>
      <c r="T70" s="2" t="s">
        <v>190</v>
      </c>
      <c r="U70" s="5" t="s">
        <v>191</v>
      </c>
      <c r="V70" s="4" t="s">
        <v>192</v>
      </c>
      <c r="W70" s="1"/>
      <c r="X70" s="1"/>
      <c r="Y70" s="1"/>
      <c r="Z70" s="1"/>
    </row>
    <row r="71" ht="6.75" customHeight="1">
      <c r="A71" s="1"/>
      <c r="B71" s="1"/>
      <c r="C71" s="1"/>
      <c r="D71" s="7"/>
      <c r="E71" s="1"/>
      <c r="F71" s="1"/>
      <c r="G71" s="1"/>
      <c r="H71" s="1"/>
      <c r="I71" s="9"/>
      <c r="J71" s="1"/>
      <c r="K71" s="1"/>
      <c r="L71" s="1"/>
      <c r="M71" s="1"/>
      <c r="N71" s="1"/>
      <c r="O71" s="1"/>
      <c r="P71" s="1"/>
      <c r="Q71" s="1"/>
      <c r="R71" s="7"/>
      <c r="S71" s="1"/>
      <c r="T71" s="5" t="s">
        <v>193</v>
      </c>
      <c r="U71" s="12"/>
      <c r="V71" s="1"/>
      <c r="W71" s="1"/>
      <c r="X71" s="1"/>
      <c r="Y71" s="1"/>
      <c r="Z71" s="1"/>
    </row>
    <row r="72" ht="6.75" customHeight="1">
      <c r="A72" s="1"/>
      <c r="B72" s="1"/>
      <c r="C72" s="1"/>
      <c r="D72" s="7"/>
      <c r="E72" s="1"/>
      <c r="F72" s="1"/>
      <c r="G72" s="1"/>
      <c r="H72" s="1"/>
      <c r="I72" s="9"/>
      <c r="J72" s="1"/>
      <c r="K72" s="1"/>
      <c r="L72" s="1"/>
      <c r="M72" s="1"/>
      <c r="N72" s="1"/>
      <c r="O72" s="1"/>
      <c r="P72" s="1"/>
      <c r="Q72" s="9"/>
      <c r="R72" s="1"/>
      <c r="S72" s="9"/>
      <c r="T72" s="1"/>
      <c r="U72" s="13" t="s">
        <v>194</v>
      </c>
      <c r="V72" s="4" t="s">
        <v>195</v>
      </c>
      <c r="W72" s="1"/>
      <c r="X72" s="1"/>
      <c r="Y72" s="1"/>
      <c r="Z72" s="1"/>
    </row>
    <row r="73" ht="6.75" customHeight="1">
      <c r="A73" s="1"/>
      <c r="B73" s="1"/>
      <c r="C73" s="1"/>
      <c r="D73" s="7"/>
      <c r="E73" s="1"/>
      <c r="F73" s="1"/>
      <c r="G73" s="1"/>
      <c r="H73" s="1"/>
      <c r="I73" s="9"/>
      <c r="J73" s="1"/>
      <c r="K73" s="1"/>
      <c r="L73" s="1"/>
      <c r="M73" s="1"/>
      <c r="N73" s="1"/>
      <c r="O73" s="1"/>
      <c r="P73" s="1"/>
      <c r="Q73" s="1"/>
      <c r="R73" s="13" t="s">
        <v>196</v>
      </c>
      <c r="S73" s="8"/>
      <c r="T73" s="7"/>
      <c r="U73" s="15" t="s">
        <v>197</v>
      </c>
      <c r="V73" s="4" t="s">
        <v>198</v>
      </c>
      <c r="W73" s="1"/>
      <c r="X73" s="1"/>
      <c r="Y73" s="1"/>
      <c r="Z73" s="1"/>
    </row>
    <row r="74" ht="6.75" customHeight="1">
      <c r="A74" s="1"/>
      <c r="B74" s="1"/>
      <c r="C74" s="1"/>
      <c r="D74" s="7"/>
      <c r="E74" s="1"/>
      <c r="F74" s="1"/>
      <c r="G74" s="1"/>
      <c r="H74" s="1"/>
      <c r="I74" s="9"/>
      <c r="J74" s="1"/>
      <c r="K74" s="1"/>
      <c r="L74" s="1"/>
      <c r="M74" s="1"/>
      <c r="N74" s="1"/>
      <c r="O74" s="1"/>
      <c r="P74" s="1"/>
      <c r="Q74" s="1"/>
      <c r="R74" s="15" t="s">
        <v>199</v>
      </c>
      <c r="S74" s="11"/>
      <c r="T74" s="7"/>
      <c r="U74" s="1"/>
      <c r="V74" s="1"/>
      <c r="W74" s="1"/>
      <c r="X74" s="1"/>
      <c r="Y74" s="1"/>
      <c r="Z74" s="1"/>
    </row>
    <row r="75" ht="6.75" customHeight="1">
      <c r="A75" s="1"/>
      <c r="B75" s="1"/>
      <c r="C75" s="1"/>
      <c r="D75" s="7"/>
      <c r="E75" s="1"/>
      <c r="F75" s="1"/>
      <c r="G75" s="1"/>
      <c r="H75" s="1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7"/>
      <c r="U75" s="2" t="s">
        <v>200</v>
      </c>
      <c r="V75" s="4" t="s">
        <v>201</v>
      </c>
      <c r="W75" s="1"/>
      <c r="X75" s="1"/>
      <c r="Y75" s="1"/>
      <c r="Z75" s="1"/>
    </row>
    <row r="76" ht="6.75" customHeight="1">
      <c r="A76" s="1"/>
      <c r="B76" s="1"/>
      <c r="C76" s="1"/>
      <c r="D76" s="7"/>
      <c r="E76" s="1"/>
      <c r="F76" s="1"/>
      <c r="G76" s="1"/>
      <c r="H76" s="1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7"/>
      <c r="U76" s="5" t="s">
        <v>202</v>
      </c>
      <c r="V76" s="4" t="s">
        <v>203</v>
      </c>
      <c r="W76" s="1"/>
      <c r="X76" s="1"/>
      <c r="Y76" s="1"/>
      <c r="Z76" s="1"/>
    </row>
    <row r="77" ht="6.75" customHeight="1">
      <c r="A77" s="1"/>
      <c r="B77" s="1"/>
      <c r="C77" s="1"/>
      <c r="D77" s="7"/>
      <c r="E77" s="1"/>
      <c r="F77" s="1"/>
      <c r="G77" s="1"/>
      <c r="H77" s="1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3" t="s">
        <v>204</v>
      </c>
      <c r="U77" s="12"/>
      <c r="V77" s="1"/>
      <c r="W77" s="1"/>
      <c r="X77" s="1"/>
      <c r="Y77" s="1"/>
      <c r="Z77" s="1"/>
    </row>
    <row r="78" ht="6.75" customHeight="1">
      <c r="A78" s="1"/>
      <c r="B78" s="1"/>
      <c r="C78" s="1"/>
      <c r="D78" s="7"/>
      <c r="E78" s="1"/>
      <c r="F78" s="1"/>
      <c r="G78" s="1"/>
      <c r="H78" s="1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5" t="s">
        <v>205</v>
      </c>
      <c r="U78" s="13" t="s">
        <v>206</v>
      </c>
      <c r="V78" s="4" t="s">
        <v>207</v>
      </c>
      <c r="W78" s="1"/>
      <c r="X78" s="1"/>
      <c r="Y78" s="1"/>
      <c r="Z78" s="1"/>
    </row>
    <row r="79" ht="6.75" customHeight="1">
      <c r="A79" s="1"/>
      <c r="B79" s="1"/>
      <c r="C79" s="1"/>
      <c r="D79" s="7"/>
      <c r="E79" s="1"/>
      <c r="F79" s="1"/>
      <c r="G79" s="1"/>
      <c r="H79" s="1"/>
      <c r="I79" s="9"/>
      <c r="J79" s="1"/>
      <c r="K79" s="1"/>
      <c r="L79" s="2" t="s">
        <v>208</v>
      </c>
      <c r="M79" s="3"/>
      <c r="N79" s="4" t="s">
        <v>209</v>
      </c>
      <c r="O79" s="1"/>
      <c r="P79" s="1"/>
      <c r="Q79" s="1"/>
      <c r="R79" s="1"/>
      <c r="S79" s="1"/>
      <c r="T79" s="1"/>
      <c r="U79" s="15" t="s">
        <v>210</v>
      </c>
      <c r="V79" s="4" t="s">
        <v>211</v>
      </c>
      <c r="W79" s="1"/>
      <c r="X79" s="1"/>
      <c r="Y79" s="1"/>
      <c r="Z79" s="1"/>
    </row>
    <row r="80" ht="6.75" customHeight="1">
      <c r="A80" s="1"/>
      <c r="B80" s="1"/>
      <c r="C80" s="1"/>
      <c r="D80" s="7"/>
      <c r="E80" s="1"/>
      <c r="F80" s="1"/>
      <c r="G80" s="1"/>
      <c r="H80" s="1"/>
      <c r="I80" s="9"/>
      <c r="J80" s="1"/>
      <c r="K80" s="1"/>
      <c r="L80" s="5" t="s">
        <v>212</v>
      </c>
      <c r="M80" s="6"/>
      <c r="N80" s="4" t="s">
        <v>213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6.75" customHeight="1">
      <c r="A81" s="1"/>
      <c r="B81" s="1"/>
      <c r="C81" s="1"/>
      <c r="D81" s="7"/>
      <c r="E81" s="1"/>
      <c r="F81" s="1"/>
      <c r="G81" s="1"/>
      <c r="H81" s="1"/>
      <c r="I81" s="9"/>
      <c r="J81" s="1"/>
      <c r="K81" s="1"/>
      <c r="L81" s="7"/>
      <c r="M81" s="1"/>
      <c r="N81" s="2" t="s">
        <v>214</v>
      </c>
      <c r="O81" s="3"/>
      <c r="P81" s="4" t="s">
        <v>215</v>
      </c>
      <c r="Q81" s="1"/>
      <c r="R81" s="1"/>
      <c r="S81" s="1"/>
      <c r="T81" s="1"/>
      <c r="U81" s="2" t="s">
        <v>216</v>
      </c>
      <c r="V81" s="4" t="s">
        <v>217</v>
      </c>
      <c r="W81" s="1"/>
      <c r="X81" s="1"/>
      <c r="Y81" s="1"/>
      <c r="Z81" s="1"/>
    </row>
    <row r="82" ht="6.75" customHeight="1">
      <c r="A82" s="1"/>
      <c r="B82" s="1"/>
      <c r="C82" s="1"/>
      <c r="D82" s="7"/>
      <c r="E82" s="1"/>
      <c r="F82" s="1"/>
      <c r="G82" s="1"/>
      <c r="H82" s="1"/>
      <c r="I82" s="9"/>
      <c r="J82" s="18" t="s">
        <v>218</v>
      </c>
      <c r="K82" s="8"/>
      <c r="L82" s="7"/>
      <c r="M82" s="1"/>
      <c r="N82" s="5" t="s">
        <v>219</v>
      </c>
      <c r="O82" s="6"/>
      <c r="P82" s="4" t="s">
        <v>220</v>
      </c>
      <c r="Q82" s="1"/>
      <c r="R82" s="1"/>
      <c r="S82" s="1"/>
      <c r="T82" s="2" t="s">
        <v>221</v>
      </c>
      <c r="U82" s="5" t="s">
        <v>222</v>
      </c>
      <c r="V82" s="4" t="s">
        <v>223</v>
      </c>
      <c r="W82" s="1"/>
      <c r="X82" s="1"/>
      <c r="Y82" s="1"/>
      <c r="Z82" s="1"/>
    </row>
    <row r="83" ht="6.75" customHeight="1">
      <c r="A83" s="1"/>
      <c r="B83" s="19" t="s">
        <v>224</v>
      </c>
      <c r="C83" s="1"/>
      <c r="D83" s="7"/>
      <c r="E83" s="1"/>
      <c r="F83" s="1"/>
      <c r="G83" s="1"/>
      <c r="H83" s="1"/>
      <c r="I83" s="1"/>
      <c r="J83" s="15" t="s">
        <v>225</v>
      </c>
      <c r="K83" s="11"/>
      <c r="L83" s="1"/>
      <c r="M83" s="1"/>
      <c r="N83" s="7"/>
      <c r="O83" s="1"/>
      <c r="P83" s="2" t="s">
        <v>226</v>
      </c>
      <c r="Q83" s="3"/>
      <c r="R83" s="4" t="s">
        <v>227</v>
      </c>
      <c r="S83" s="1"/>
      <c r="T83" s="5" t="s">
        <v>228</v>
      </c>
      <c r="U83" s="12"/>
      <c r="V83" s="1"/>
      <c r="W83" s="1"/>
      <c r="X83" s="1"/>
      <c r="Y83" s="1"/>
      <c r="Z83" s="1"/>
    </row>
    <row r="84" ht="6.75" customHeight="1">
      <c r="A84" s="1"/>
      <c r="B84" s="3"/>
      <c r="C84" s="1"/>
      <c r="D84" s="7"/>
      <c r="E84" s="1"/>
      <c r="F84" s="1"/>
      <c r="G84" s="1"/>
      <c r="H84" s="1"/>
      <c r="I84" s="1"/>
      <c r="J84" s="1"/>
      <c r="K84" s="9"/>
      <c r="L84" s="13" t="s">
        <v>229</v>
      </c>
      <c r="M84" s="8"/>
      <c r="N84" s="7"/>
      <c r="O84" s="1"/>
      <c r="P84" s="5" t="s">
        <v>230</v>
      </c>
      <c r="Q84" s="6"/>
      <c r="R84" s="4" t="s">
        <v>231</v>
      </c>
      <c r="S84" s="9"/>
      <c r="T84" s="1"/>
      <c r="U84" s="13" t="s">
        <v>232</v>
      </c>
      <c r="V84" s="4" t="s">
        <v>233</v>
      </c>
      <c r="W84" s="1"/>
      <c r="X84" s="1"/>
      <c r="Y84" s="1"/>
      <c r="Z84" s="1"/>
    </row>
    <row r="85" ht="6.75" customHeight="1">
      <c r="A85" s="1"/>
      <c r="B85" s="20" t="s">
        <v>234</v>
      </c>
      <c r="C85" s="1"/>
      <c r="D85" s="7"/>
      <c r="E85" s="1"/>
      <c r="F85" s="1"/>
      <c r="G85" s="1"/>
      <c r="H85" s="1"/>
      <c r="I85" s="1"/>
      <c r="J85" s="1"/>
      <c r="K85" s="1"/>
      <c r="L85" s="15" t="s">
        <v>235</v>
      </c>
      <c r="M85" s="11"/>
      <c r="N85" s="1"/>
      <c r="O85" s="1"/>
      <c r="P85" s="7"/>
      <c r="Q85" s="1"/>
      <c r="R85" s="2" t="s">
        <v>236</v>
      </c>
      <c r="S85" s="8"/>
      <c r="T85" s="7"/>
      <c r="U85" s="15" t="s">
        <v>237</v>
      </c>
      <c r="V85" s="4" t="s">
        <v>238</v>
      </c>
      <c r="W85" s="1"/>
      <c r="X85" s="1"/>
      <c r="Y85" s="1"/>
      <c r="Z85" s="1"/>
    </row>
    <row r="86" ht="6.75" customHeight="1">
      <c r="A86" s="1"/>
      <c r="B86" s="21"/>
      <c r="C86" s="22"/>
      <c r="D86" s="7"/>
      <c r="E86" s="1"/>
      <c r="F86" s="1"/>
      <c r="G86" s="1"/>
      <c r="H86" s="1"/>
      <c r="I86" s="1"/>
      <c r="J86" s="1"/>
      <c r="K86" s="1"/>
      <c r="L86" s="1"/>
      <c r="M86" s="9"/>
      <c r="N86" s="1"/>
      <c r="O86" s="1"/>
      <c r="P86" s="7"/>
      <c r="Q86" s="1"/>
      <c r="R86" s="5" t="s">
        <v>239</v>
      </c>
      <c r="S86" s="11"/>
      <c r="T86" s="7"/>
      <c r="U86" s="1"/>
      <c r="V86" s="1"/>
      <c r="W86" s="1"/>
      <c r="X86" s="1"/>
      <c r="Y86" s="1"/>
      <c r="Z86" s="1"/>
    </row>
    <row r="87" ht="6.75" customHeight="1">
      <c r="A87" s="1"/>
      <c r="B87" s="21"/>
      <c r="C87" s="23"/>
      <c r="D87" s="7"/>
      <c r="E87" s="1"/>
      <c r="F87" s="1"/>
      <c r="G87" s="1"/>
      <c r="H87" s="1"/>
      <c r="I87" s="1"/>
      <c r="J87" s="1"/>
      <c r="K87" s="1"/>
      <c r="L87" s="1"/>
      <c r="M87" s="1"/>
      <c r="N87" s="13" t="s">
        <v>240</v>
      </c>
      <c r="O87" s="8"/>
      <c r="P87" s="7"/>
      <c r="Q87" s="1"/>
      <c r="R87" s="7"/>
      <c r="S87" s="1"/>
      <c r="T87" s="7"/>
      <c r="U87" s="2" t="s">
        <v>241</v>
      </c>
      <c r="V87" s="4" t="s">
        <v>242</v>
      </c>
      <c r="W87" s="1"/>
      <c r="X87" s="1"/>
      <c r="Y87" s="1"/>
      <c r="Z87" s="1"/>
    </row>
    <row r="88" ht="6.75" customHeight="1">
      <c r="A88" s="1"/>
      <c r="B88" s="24"/>
      <c r="C88" s="1"/>
      <c r="D88" s="7"/>
      <c r="E88" s="1"/>
      <c r="F88" s="1"/>
      <c r="G88" s="1"/>
      <c r="H88" s="1"/>
      <c r="I88" s="1"/>
      <c r="J88" s="1"/>
      <c r="K88" s="1"/>
      <c r="L88" s="1"/>
      <c r="M88" s="1"/>
      <c r="N88" s="15" t="s">
        <v>243</v>
      </c>
      <c r="O88" s="11"/>
      <c r="P88" s="7"/>
      <c r="Q88" s="1"/>
      <c r="R88" s="7"/>
      <c r="S88" s="1"/>
      <c r="T88" s="7"/>
      <c r="U88" s="5" t="s">
        <v>244</v>
      </c>
      <c r="V88" s="4" t="s">
        <v>245</v>
      </c>
      <c r="W88" s="1"/>
      <c r="X88" s="1"/>
      <c r="Y88" s="1"/>
      <c r="Z88" s="1"/>
    </row>
    <row r="89" ht="6.75" customHeight="1">
      <c r="A89" s="1"/>
      <c r="B89" s="25" t="s">
        <v>246</v>
      </c>
      <c r="C89" s="1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7"/>
      <c r="Q89" s="1"/>
      <c r="R89" s="7"/>
      <c r="S89" s="1"/>
      <c r="T89" s="13" t="s">
        <v>247</v>
      </c>
      <c r="U89" s="12"/>
      <c r="V89" s="1"/>
      <c r="W89" s="1"/>
      <c r="X89" s="1"/>
      <c r="Y89" s="1"/>
      <c r="Z89" s="1"/>
    </row>
    <row r="90" ht="6.75" customHeight="1">
      <c r="A90" s="1"/>
      <c r="C90" s="1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7"/>
      <c r="Q90" s="1"/>
      <c r="R90" s="7"/>
      <c r="S90" s="1"/>
      <c r="T90" s="15" t="s">
        <v>248</v>
      </c>
      <c r="U90" s="13" t="s">
        <v>249</v>
      </c>
      <c r="V90" s="4" t="s">
        <v>250</v>
      </c>
      <c r="W90" s="1"/>
      <c r="X90" s="1"/>
      <c r="Y90" s="1"/>
      <c r="Z90" s="1"/>
    </row>
    <row r="91" ht="6.75" customHeight="1">
      <c r="A91" s="1"/>
      <c r="B91" s="1"/>
      <c r="C91" s="1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3" t="s">
        <v>251</v>
      </c>
      <c r="Q91" s="8"/>
      <c r="R91" s="7"/>
      <c r="S91" s="1"/>
      <c r="T91" s="1"/>
      <c r="U91" s="15" t="s">
        <v>252</v>
      </c>
      <c r="V91" s="4" t="s">
        <v>253</v>
      </c>
      <c r="W91" s="1"/>
      <c r="X91" s="1"/>
      <c r="Y91" s="1"/>
      <c r="Z91" s="1"/>
    </row>
    <row r="92" ht="6.75" customHeight="1">
      <c r="A92" s="1"/>
      <c r="B92" s="1"/>
      <c r="C92" s="1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5" t="s">
        <v>254</v>
      </c>
      <c r="Q92" s="11"/>
      <c r="R92" s="7"/>
      <c r="S92" s="1"/>
      <c r="T92" s="1"/>
      <c r="U92" s="1"/>
      <c r="V92" s="1"/>
      <c r="W92" s="1"/>
      <c r="X92" s="1"/>
      <c r="Y92" s="1"/>
      <c r="Z92" s="1"/>
    </row>
    <row r="93" ht="6.75" customHeight="1">
      <c r="A93" s="1"/>
      <c r="B93" s="1"/>
      <c r="C93" s="1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7"/>
      <c r="S93" s="1"/>
      <c r="T93" s="1"/>
      <c r="U93" s="2" t="s">
        <v>255</v>
      </c>
      <c r="V93" s="4" t="s">
        <v>256</v>
      </c>
      <c r="W93" s="1"/>
      <c r="X93" s="1"/>
      <c r="Y93" s="1"/>
      <c r="Z93" s="1"/>
    </row>
    <row r="94" ht="6.75" customHeight="1">
      <c r="A94" s="1"/>
      <c r="B94" s="1"/>
      <c r="C94" s="1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7"/>
      <c r="S94" s="1"/>
      <c r="T94" s="2" t="s">
        <v>257</v>
      </c>
      <c r="U94" s="5" t="s">
        <v>258</v>
      </c>
      <c r="V94" s="4" t="s">
        <v>259</v>
      </c>
      <c r="W94" s="1"/>
      <c r="X94" s="1"/>
      <c r="Y94" s="1"/>
      <c r="Z94" s="1"/>
    </row>
    <row r="95" ht="6.75" customHeight="1">
      <c r="A95" s="1"/>
      <c r="B95" s="1"/>
      <c r="C95" s="1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7"/>
      <c r="S95" s="1"/>
      <c r="T95" s="5" t="s">
        <v>260</v>
      </c>
      <c r="U95" s="12"/>
      <c r="V95" s="1"/>
      <c r="W95" s="1"/>
      <c r="X95" s="1"/>
      <c r="Y95" s="1"/>
      <c r="Z95" s="1"/>
    </row>
    <row r="96" ht="6.75" customHeight="1">
      <c r="A96" s="1"/>
      <c r="B96" s="1"/>
      <c r="C96" s="1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7"/>
      <c r="S96" s="9"/>
      <c r="T96" s="1"/>
      <c r="U96" s="13" t="s">
        <v>261</v>
      </c>
      <c r="V96" s="4" t="s">
        <v>262</v>
      </c>
      <c r="W96" s="1"/>
      <c r="X96" s="1"/>
      <c r="Y96" s="1"/>
      <c r="Z96" s="1"/>
    </row>
    <row r="97" ht="6.75" customHeight="1">
      <c r="A97" s="1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3" t="s">
        <v>263</v>
      </c>
      <c r="S97" s="8"/>
      <c r="T97" s="7"/>
      <c r="U97" s="15" t="s">
        <v>264</v>
      </c>
      <c r="V97" s="4" t="s">
        <v>265</v>
      </c>
      <c r="W97" s="1"/>
      <c r="X97" s="1"/>
      <c r="Y97" s="1"/>
      <c r="Z97" s="1"/>
    </row>
    <row r="98" ht="6.75" customHeight="1">
      <c r="A98" s="1"/>
      <c r="B98" s="1"/>
      <c r="C98" s="1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5" t="s">
        <v>266</v>
      </c>
      <c r="S98" s="11"/>
      <c r="T98" s="7"/>
      <c r="U98" s="1"/>
      <c r="V98" s="1"/>
      <c r="W98" s="1"/>
      <c r="X98" s="1"/>
      <c r="Y98" s="1"/>
      <c r="Z98" s="1"/>
    </row>
    <row r="99" ht="6.75" customHeight="1">
      <c r="A99" s="1"/>
      <c r="B99" s="1"/>
      <c r="C99" s="1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7"/>
      <c r="U99" s="2" t="s">
        <v>267</v>
      </c>
      <c r="V99" s="4" t="s">
        <v>268</v>
      </c>
      <c r="W99" s="1"/>
      <c r="X99" s="1"/>
      <c r="Y99" s="1"/>
      <c r="Z99" s="1"/>
    </row>
    <row r="100" ht="6.75" customHeight="1">
      <c r="A100" s="1"/>
      <c r="B100" s="1"/>
      <c r="C100" s="1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7"/>
      <c r="U100" s="5" t="s">
        <v>269</v>
      </c>
      <c r="V100" s="4" t="s">
        <v>270</v>
      </c>
      <c r="W100" s="1"/>
      <c r="X100" s="1"/>
      <c r="Y100" s="1"/>
      <c r="Z100" s="1"/>
    </row>
    <row r="101" ht="6.75" customHeight="1">
      <c r="A101" s="1"/>
      <c r="B101" s="1"/>
      <c r="C101" s="1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3" t="s">
        <v>271</v>
      </c>
      <c r="U101" s="12"/>
      <c r="V101" s="1"/>
      <c r="W101" s="1"/>
      <c r="X101" s="1"/>
      <c r="Y101" s="1"/>
      <c r="Z101" s="1"/>
    </row>
    <row r="102" ht="6.75" customHeight="1">
      <c r="A102" s="1"/>
      <c r="B102" s="1"/>
      <c r="C102" s="1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5" t="s">
        <v>272</v>
      </c>
      <c r="U102" s="13" t="s">
        <v>273</v>
      </c>
      <c r="V102" s="4" t="s">
        <v>274</v>
      </c>
      <c r="W102" s="1"/>
      <c r="X102" s="1"/>
      <c r="Y102" s="1"/>
      <c r="Z102" s="1"/>
    </row>
    <row r="103" ht="6.75" customHeight="1">
      <c r="A103" s="1"/>
      <c r="B103" s="1"/>
      <c r="C103" s="1"/>
      <c r="D103" s="7"/>
      <c r="E103" s="1"/>
      <c r="F103" s="1"/>
      <c r="G103" s="1"/>
      <c r="H103" s="2" t="s">
        <v>275</v>
      </c>
      <c r="I103" s="3"/>
      <c r="J103" s="4" t="s">
        <v>276</v>
      </c>
      <c r="K103" s="1"/>
      <c r="L103" s="2" t="s">
        <v>277</v>
      </c>
      <c r="M103" s="3"/>
      <c r="N103" s="4" t="s">
        <v>278</v>
      </c>
      <c r="O103" s="1"/>
      <c r="P103" s="1"/>
      <c r="Q103" s="1"/>
      <c r="R103" s="1"/>
      <c r="S103" s="1"/>
      <c r="T103" s="1"/>
      <c r="U103" s="15" t="s">
        <v>279</v>
      </c>
      <c r="V103" s="4" t="s">
        <v>280</v>
      </c>
      <c r="W103" s="1"/>
      <c r="X103" s="1"/>
      <c r="Y103" s="1"/>
      <c r="Z103" s="1"/>
    </row>
    <row r="104" ht="6.75" customHeight="1">
      <c r="A104" s="1"/>
      <c r="B104" s="1"/>
      <c r="C104" s="1"/>
      <c r="D104" s="7"/>
      <c r="E104" s="1"/>
      <c r="F104" s="1"/>
      <c r="G104" s="1"/>
      <c r="H104" s="5" t="s">
        <v>281</v>
      </c>
      <c r="I104" s="6"/>
      <c r="J104" s="4" t="s">
        <v>282</v>
      </c>
      <c r="K104" s="1"/>
      <c r="L104" s="5" t="s">
        <v>283</v>
      </c>
      <c r="M104" s="6"/>
      <c r="N104" s="4" t="s">
        <v>284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6.75" customHeight="1">
      <c r="A105" s="1"/>
      <c r="B105" s="1"/>
      <c r="C105" s="1"/>
      <c r="D105" s="7"/>
      <c r="E105" s="1"/>
      <c r="F105" s="1"/>
      <c r="G105" s="1"/>
      <c r="H105" s="7"/>
      <c r="I105" s="1"/>
      <c r="J105" s="2" t="s">
        <v>285</v>
      </c>
      <c r="K105" s="8"/>
      <c r="L105" s="7"/>
      <c r="M105" s="1"/>
      <c r="N105" s="2" t="s">
        <v>286</v>
      </c>
      <c r="O105" s="3"/>
      <c r="P105" s="4" t="s">
        <v>287</v>
      </c>
      <c r="Q105" s="1"/>
      <c r="R105" s="1"/>
      <c r="S105" s="1"/>
      <c r="T105" s="1"/>
      <c r="U105" s="2" t="s">
        <v>288</v>
      </c>
      <c r="V105" s="4" t="s">
        <v>289</v>
      </c>
      <c r="W105" s="1"/>
      <c r="X105" s="1"/>
      <c r="Y105" s="1"/>
      <c r="Z105" s="1"/>
    </row>
    <row r="106" ht="6.75" customHeight="1">
      <c r="A106" s="1"/>
      <c r="B106" s="1"/>
      <c r="C106" s="1"/>
      <c r="D106" s="7"/>
      <c r="E106" s="1"/>
      <c r="F106" s="1"/>
      <c r="G106" s="1"/>
      <c r="H106" s="7"/>
      <c r="I106" s="9"/>
      <c r="J106" s="10" t="s">
        <v>290</v>
      </c>
      <c r="K106" s="11"/>
      <c r="L106" s="7"/>
      <c r="M106" s="1"/>
      <c r="N106" s="5" t="s">
        <v>291</v>
      </c>
      <c r="O106" s="6"/>
      <c r="P106" s="4" t="s">
        <v>292</v>
      </c>
      <c r="Q106" s="1"/>
      <c r="R106" s="1"/>
      <c r="S106" s="1"/>
      <c r="T106" s="2" t="s">
        <v>293</v>
      </c>
      <c r="U106" s="5" t="s">
        <v>294</v>
      </c>
      <c r="V106" s="4" t="s">
        <v>295</v>
      </c>
      <c r="W106" s="1"/>
      <c r="X106" s="1"/>
      <c r="Y106" s="1"/>
      <c r="Z106" s="1"/>
    </row>
    <row r="107" ht="6.75" customHeight="1">
      <c r="A107" s="1"/>
      <c r="B107" s="1"/>
      <c r="C107" s="1"/>
      <c r="D107" s="7"/>
      <c r="E107" s="1"/>
      <c r="F107" s="1"/>
      <c r="G107" s="1"/>
      <c r="H107" s="7"/>
      <c r="I107" s="9"/>
      <c r="J107" s="1"/>
      <c r="K107" s="9"/>
      <c r="L107" s="13" t="s">
        <v>296</v>
      </c>
      <c r="M107" s="8"/>
      <c r="N107" s="7"/>
      <c r="O107" s="1"/>
      <c r="P107" s="2" t="s">
        <v>297</v>
      </c>
      <c r="Q107" s="3"/>
      <c r="R107" s="4" t="s">
        <v>298</v>
      </c>
      <c r="S107" s="1"/>
      <c r="T107" s="5" t="s">
        <v>299</v>
      </c>
      <c r="U107" s="12"/>
      <c r="V107" s="1"/>
      <c r="W107" s="1"/>
      <c r="X107" s="1"/>
      <c r="Y107" s="1"/>
      <c r="Z107" s="1"/>
    </row>
    <row r="108" ht="6.75" customHeight="1">
      <c r="A108" s="1"/>
      <c r="B108" s="1"/>
      <c r="C108" s="1"/>
      <c r="D108" s="7"/>
      <c r="E108" s="1"/>
      <c r="F108" s="1"/>
      <c r="G108" s="1"/>
      <c r="H108" s="7"/>
      <c r="I108" s="9"/>
      <c r="J108" s="1"/>
      <c r="K108" s="1"/>
      <c r="L108" s="15" t="s">
        <v>300</v>
      </c>
      <c r="M108" s="11"/>
      <c r="N108" s="7"/>
      <c r="O108" s="1"/>
      <c r="P108" s="5" t="s">
        <v>301</v>
      </c>
      <c r="Q108" s="6"/>
      <c r="R108" s="4" t="s">
        <v>302</v>
      </c>
      <c r="S108" s="9"/>
      <c r="T108" s="1"/>
      <c r="U108" s="13" t="s">
        <v>303</v>
      </c>
      <c r="V108" s="4" t="s">
        <v>304</v>
      </c>
      <c r="W108" s="1"/>
      <c r="X108" s="1"/>
      <c r="Y108" s="1"/>
      <c r="Z108" s="1"/>
    </row>
    <row r="109" ht="6.75" customHeight="1">
      <c r="A109" s="1"/>
      <c r="B109" s="1"/>
      <c r="C109" s="1"/>
      <c r="D109" s="7"/>
      <c r="E109" s="1"/>
      <c r="F109" s="2" t="s">
        <v>305</v>
      </c>
      <c r="G109" s="8"/>
      <c r="H109" s="7"/>
      <c r="I109" s="9"/>
      <c r="J109" s="1"/>
      <c r="K109" s="1"/>
      <c r="L109" s="1"/>
      <c r="M109" s="9"/>
      <c r="N109" s="1"/>
      <c r="O109" s="1"/>
      <c r="P109" s="7"/>
      <c r="Q109" s="1"/>
      <c r="R109" s="2" t="s">
        <v>306</v>
      </c>
      <c r="S109" s="8"/>
      <c r="T109" s="7"/>
      <c r="U109" s="15" t="s">
        <v>307</v>
      </c>
      <c r="V109" s="4" t="s">
        <v>308</v>
      </c>
      <c r="W109" s="1"/>
      <c r="X109" s="1"/>
      <c r="Y109" s="1"/>
      <c r="Z109" s="1"/>
    </row>
    <row r="110" ht="6.75" customHeight="1">
      <c r="A110" s="1"/>
      <c r="B110" s="1"/>
      <c r="C110" s="1"/>
      <c r="D110" s="7"/>
      <c r="E110" s="1"/>
      <c r="F110" s="5" t="s">
        <v>309</v>
      </c>
      <c r="G110" s="11"/>
      <c r="H110" s="7"/>
      <c r="I110" s="9"/>
      <c r="J110" s="14"/>
      <c r="K110" s="1"/>
      <c r="L110" s="1"/>
      <c r="M110" s="1"/>
      <c r="N110" s="13" t="s">
        <v>310</v>
      </c>
      <c r="O110" s="8"/>
      <c r="P110" s="7"/>
      <c r="Q110" s="1"/>
      <c r="R110" s="5" t="s">
        <v>311</v>
      </c>
      <c r="S110" s="11"/>
      <c r="T110" s="7"/>
      <c r="U110" s="1"/>
      <c r="V110" s="1"/>
      <c r="W110" s="1"/>
      <c r="X110" s="1"/>
      <c r="Y110" s="1"/>
      <c r="Z110" s="1"/>
    </row>
    <row r="111" ht="6.75" customHeight="1">
      <c r="A111" s="1"/>
      <c r="B111" s="1"/>
      <c r="C111" s="1"/>
      <c r="D111" s="7"/>
      <c r="E111" s="1"/>
      <c r="F111" s="7"/>
      <c r="G111" s="9"/>
      <c r="H111" s="7"/>
      <c r="I111" s="9"/>
      <c r="J111" s="14"/>
      <c r="K111" s="1"/>
      <c r="L111" s="1"/>
      <c r="M111" s="1"/>
      <c r="N111" s="15" t="s">
        <v>312</v>
      </c>
      <c r="O111" s="11"/>
      <c r="P111" s="7"/>
      <c r="Q111" s="1"/>
      <c r="R111" s="7"/>
      <c r="S111" s="1"/>
      <c r="T111" s="7"/>
      <c r="U111" s="2" t="s">
        <v>313</v>
      </c>
      <c r="V111" s="4" t="s">
        <v>314</v>
      </c>
      <c r="W111" s="1"/>
      <c r="X111" s="1"/>
      <c r="Y111" s="1"/>
      <c r="Z111" s="1"/>
    </row>
    <row r="112" ht="6.75" customHeight="1">
      <c r="A112" s="1"/>
      <c r="B112" s="1"/>
      <c r="C112" s="1"/>
      <c r="D112" s="7"/>
      <c r="E112" s="1"/>
      <c r="F112" s="7"/>
      <c r="G112" s="1"/>
      <c r="H112" s="7"/>
      <c r="I112" s="9"/>
      <c r="J112" s="1"/>
      <c r="K112" s="1"/>
      <c r="L112" s="1"/>
      <c r="M112" s="1"/>
      <c r="N112" s="1"/>
      <c r="O112" s="1"/>
      <c r="P112" s="7"/>
      <c r="Q112" s="1"/>
      <c r="R112" s="7"/>
      <c r="S112" s="1"/>
      <c r="T112" s="7"/>
      <c r="U112" s="5" t="s">
        <v>315</v>
      </c>
      <c r="V112" s="4" t="s">
        <v>316</v>
      </c>
      <c r="W112" s="1"/>
      <c r="X112" s="1"/>
      <c r="Y112" s="1"/>
      <c r="Z112" s="1"/>
    </row>
    <row r="113" ht="6.75" customHeight="1">
      <c r="A113" s="1"/>
      <c r="B113" s="1"/>
      <c r="C113" s="1"/>
      <c r="D113" s="7"/>
      <c r="E113" s="1"/>
      <c r="F113" s="7"/>
      <c r="G113" s="1"/>
      <c r="H113" s="7"/>
      <c r="I113" s="9"/>
      <c r="J113" s="1"/>
      <c r="K113" s="1"/>
      <c r="L113" s="1"/>
      <c r="M113" s="1"/>
      <c r="N113" s="1"/>
      <c r="O113" s="9"/>
      <c r="P113" s="1"/>
      <c r="Q113" s="1"/>
      <c r="R113" s="7"/>
      <c r="S113" s="1"/>
      <c r="T113" s="13" t="s">
        <v>317</v>
      </c>
      <c r="U113" s="12"/>
      <c r="V113" s="1"/>
      <c r="W113" s="1"/>
      <c r="X113" s="1"/>
      <c r="Y113" s="1"/>
      <c r="Z113" s="1"/>
    </row>
    <row r="114" ht="6.75" customHeight="1">
      <c r="A114" s="1"/>
      <c r="B114" s="1"/>
      <c r="C114" s="1"/>
      <c r="D114" s="7"/>
      <c r="E114" s="1"/>
      <c r="F114" s="17"/>
      <c r="G114" s="1"/>
      <c r="H114" s="7"/>
      <c r="I114" s="9"/>
      <c r="J114" s="1"/>
      <c r="K114" s="1"/>
      <c r="L114" s="1"/>
      <c r="M114" s="1"/>
      <c r="N114" s="1"/>
      <c r="O114" s="1"/>
      <c r="P114" s="13" t="s">
        <v>318</v>
      </c>
      <c r="Q114" s="8"/>
      <c r="R114" s="7"/>
      <c r="S114" s="1"/>
      <c r="T114" s="15" t="s">
        <v>319</v>
      </c>
      <c r="U114" s="13" t="s">
        <v>320</v>
      </c>
      <c r="V114" s="4" t="s">
        <v>321</v>
      </c>
      <c r="W114" s="1"/>
      <c r="X114" s="1"/>
      <c r="Y114" s="1"/>
      <c r="Z114" s="1"/>
    </row>
    <row r="115" ht="6.75" customHeight="1">
      <c r="A115" s="1"/>
      <c r="B115" s="1"/>
      <c r="C115" s="1"/>
      <c r="D115" s="7"/>
      <c r="E115" s="1"/>
      <c r="F115" s="17"/>
      <c r="G115" s="1"/>
      <c r="H115" s="7"/>
      <c r="I115" s="9"/>
      <c r="J115" s="1"/>
      <c r="K115" s="1"/>
      <c r="L115" s="1"/>
      <c r="M115" s="1"/>
      <c r="N115" s="1"/>
      <c r="O115" s="1"/>
      <c r="P115" s="15" t="s">
        <v>322</v>
      </c>
      <c r="Q115" s="11"/>
      <c r="R115" s="7"/>
      <c r="S115" s="1"/>
      <c r="T115" s="1"/>
      <c r="U115" s="15" t="s">
        <v>323</v>
      </c>
      <c r="V115" s="4" t="s">
        <v>324</v>
      </c>
      <c r="W115" s="1"/>
      <c r="X115" s="1"/>
      <c r="Y115" s="1"/>
      <c r="Z115" s="1"/>
    </row>
    <row r="116" ht="6.75" customHeight="1">
      <c r="A116" s="1"/>
      <c r="B116" s="1"/>
      <c r="C116" s="1"/>
      <c r="D116" s="7"/>
      <c r="E116" s="1"/>
      <c r="F116" s="7"/>
      <c r="G116" s="1"/>
      <c r="H116" s="13" t="s">
        <v>325</v>
      </c>
      <c r="I116" s="8"/>
      <c r="J116" s="1"/>
      <c r="K116" s="1"/>
      <c r="L116" s="1"/>
      <c r="M116" s="1"/>
      <c r="N116" s="1"/>
      <c r="O116" s="1"/>
      <c r="P116" s="1"/>
      <c r="Q116" s="1"/>
      <c r="R116" s="7"/>
      <c r="S116" s="1"/>
      <c r="T116" s="1"/>
      <c r="U116" s="1"/>
      <c r="V116" s="1"/>
      <c r="W116" s="1"/>
      <c r="X116" s="1"/>
      <c r="Y116" s="1"/>
      <c r="Z116" s="1"/>
    </row>
    <row r="117" ht="6.75" customHeight="1">
      <c r="A117" s="1"/>
      <c r="B117" s="1"/>
      <c r="C117" s="1"/>
      <c r="D117" s="7"/>
      <c r="E117" s="1"/>
      <c r="F117" s="7"/>
      <c r="G117" s="1"/>
      <c r="H117" s="15" t="s">
        <v>326</v>
      </c>
      <c r="I117" s="11"/>
      <c r="J117" s="1"/>
      <c r="K117" s="1"/>
      <c r="L117" s="1"/>
      <c r="M117" s="1"/>
      <c r="N117" s="1"/>
      <c r="O117" s="1"/>
      <c r="P117" s="1"/>
      <c r="Q117" s="1"/>
      <c r="R117" s="7"/>
      <c r="S117" s="1"/>
      <c r="T117" s="1"/>
      <c r="U117" s="2" t="s">
        <v>327</v>
      </c>
      <c r="V117" s="4" t="s">
        <v>328</v>
      </c>
      <c r="W117" s="1"/>
      <c r="X117" s="1"/>
      <c r="Y117" s="1"/>
      <c r="Z117" s="1"/>
    </row>
    <row r="118" ht="6.75" customHeight="1">
      <c r="A118" s="1"/>
      <c r="B118" s="1"/>
      <c r="C118" s="1"/>
      <c r="D118" s="7"/>
      <c r="E118" s="1"/>
      <c r="F118" s="7"/>
      <c r="G118" s="1"/>
      <c r="H118" s="1"/>
      <c r="I118" s="9"/>
      <c r="J118" s="1"/>
      <c r="K118" s="1"/>
      <c r="L118" s="1"/>
      <c r="M118" s="1"/>
      <c r="N118" s="1"/>
      <c r="O118" s="1"/>
      <c r="P118" s="1"/>
      <c r="Q118" s="1"/>
      <c r="R118" s="7"/>
      <c r="S118" s="1"/>
      <c r="T118" s="2" t="s">
        <v>329</v>
      </c>
      <c r="U118" s="5" t="s">
        <v>330</v>
      </c>
      <c r="V118" s="4" t="s">
        <v>331</v>
      </c>
      <c r="W118" s="1"/>
      <c r="X118" s="1"/>
      <c r="Y118" s="1"/>
      <c r="Z118" s="1"/>
    </row>
    <row r="119" ht="6.75" customHeight="1">
      <c r="A119" s="1"/>
      <c r="B119" s="1"/>
      <c r="C119" s="1"/>
      <c r="D119" s="7"/>
      <c r="E119" s="1"/>
      <c r="F119" s="7"/>
      <c r="G119" s="1"/>
      <c r="H119" s="1"/>
      <c r="I119" s="9"/>
      <c r="J119" s="1"/>
      <c r="K119" s="1"/>
      <c r="L119" s="1"/>
      <c r="M119" s="1"/>
      <c r="N119" s="1"/>
      <c r="O119" s="1"/>
      <c r="P119" s="1"/>
      <c r="Q119" s="1"/>
      <c r="R119" s="7"/>
      <c r="S119" s="1"/>
      <c r="T119" s="5" t="s">
        <v>332</v>
      </c>
      <c r="U119" s="12"/>
      <c r="V119" s="1"/>
      <c r="W119" s="1"/>
      <c r="X119" s="1"/>
      <c r="Y119" s="1"/>
      <c r="Z119" s="1"/>
    </row>
    <row r="120" ht="6.75" customHeight="1">
      <c r="A120" s="1"/>
      <c r="B120" s="1"/>
      <c r="C120" s="1"/>
      <c r="D120" s="7"/>
      <c r="E120" s="1"/>
      <c r="F120" s="7"/>
      <c r="G120" s="1"/>
      <c r="H120" s="1"/>
      <c r="I120" s="9"/>
      <c r="J120" s="1"/>
      <c r="K120" s="1"/>
      <c r="L120" s="1"/>
      <c r="M120" s="1"/>
      <c r="N120" s="1"/>
      <c r="O120" s="1"/>
      <c r="P120" s="1"/>
      <c r="Q120" s="9"/>
      <c r="R120" s="1"/>
      <c r="S120" s="9"/>
      <c r="T120" s="1"/>
      <c r="U120" s="13" t="s">
        <v>333</v>
      </c>
      <c r="V120" s="4" t="s">
        <v>334</v>
      </c>
      <c r="W120" s="1"/>
      <c r="X120" s="1"/>
      <c r="Y120" s="1"/>
      <c r="Z120" s="1"/>
    </row>
    <row r="121" ht="6.75" customHeight="1">
      <c r="A121" s="1"/>
      <c r="B121" s="1"/>
      <c r="C121" s="1"/>
      <c r="D121" s="7"/>
      <c r="E121" s="1"/>
      <c r="F121" s="7"/>
      <c r="G121" s="1"/>
      <c r="H121" s="1"/>
      <c r="I121" s="9"/>
      <c r="J121" s="1"/>
      <c r="K121" s="1"/>
      <c r="L121" s="1"/>
      <c r="M121" s="1"/>
      <c r="N121" s="1"/>
      <c r="O121" s="1"/>
      <c r="P121" s="1"/>
      <c r="Q121" s="1"/>
      <c r="R121" s="13" t="s">
        <v>335</v>
      </c>
      <c r="S121" s="8"/>
      <c r="T121" s="7"/>
      <c r="U121" s="15" t="s">
        <v>336</v>
      </c>
      <c r="V121" s="4" t="s">
        <v>337</v>
      </c>
      <c r="W121" s="1"/>
      <c r="X121" s="1"/>
      <c r="Y121" s="1"/>
      <c r="Z121" s="1"/>
    </row>
    <row r="122" ht="6.75" customHeight="1">
      <c r="A122" s="1"/>
      <c r="B122" s="1"/>
      <c r="C122" s="1"/>
      <c r="D122" s="7"/>
      <c r="E122" s="1"/>
      <c r="F122" s="7"/>
      <c r="G122" s="1"/>
      <c r="H122" s="1"/>
      <c r="I122" s="9"/>
      <c r="J122" s="1"/>
      <c r="K122" s="1"/>
      <c r="L122" s="1"/>
      <c r="M122" s="1"/>
      <c r="N122" s="1"/>
      <c r="O122" s="1"/>
      <c r="P122" s="1"/>
      <c r="Q122" s="1"/>
      <c r="R122" s="15" t="s">
        <v>338</v>
      </c>
      <c r="S122" s="11"/>
      <c r="T122" s="7"/>
      <c r="U122" s="1"/>
      <c r="V122" s="1"/>
      <c r="W122" s="1"/>
      <c r="X122" s="1"/>
      <c r="Y122" s="1"/>
      <c r="Z122" s="1"/>
    </row>
    <row r="123" ht="6.75" customHeight="1">
      <c r="A123" s="1"/>
      <c r="B123" s="1"/>
      <c r="C123" s="1"/>
      <c r="D123" s="7"/>
      <c r="E123" s="1"/>
      <c r="F123" s="7"/>
      <c r="G123" s="1"/>
      <c r="H123" s="1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7"/>
      <c r="U123" s="2" t="s">
        <v>339</v>
      </c>
      <c r="V123" s="4" t="s">
        <v>340</v>
      </c>
      <c r="W123" s="1"/>
      <c r="X123" s="1"/>
      <c r="Y123" s="1"/>
      <c r="Z123" s="1"/>
    </row>
    <row r="124" ht="6.75" customHeight="1">
      <c r="A124" s="1"/>
      <c r="B124" s="1"/>
      <c r="C124" s="1"/>
      <c r="D124" s="7"/>
      <c r="E124" s="1"/>
      <c r="F124" s="7"/>
      <c r="G124" s="1"/>
      <c r="H124" s="1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7"/>
      <c r="U124" s="5" t="s">
        <v>341</v>
      </c>
      <c r="V124" s="4" t="s">
        <v>342</v>
      </c>
      <c r="W124" s="1"/>
      <c r="X124" s="1"/>
      <c r="Y124" s="1"/>
      <c r="Z124" s="1"/>
    </row>
    <row r="125" ht="6.75" customHeight="1">
      <c r="A125" s="1"/>
      <c r="B125" s="1"/>
      <c r="C125" s="1"/>
      <c r="D125" s="7"/>
      <c r="E125" s="1"/>
      <c r="F125" s="7"/>
      <c r="G125" s="1"/>
      <c r="H125" s="1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3" t="s">
        <v>343</v>
      </c>
      <c r="U125" s="12"/>
      <c r="V125" s="1"/>
      <c r="W125" s="1"/>
      <c r="X125" s="1"/>
      <c r="Y125" s="1"/>
      <c r="Z125" s="1"/>
    </row>
    <row r="126" ht="6.75" customHeight="1">
      <c r="A126" s="1"/>
      <c r="B126" s="1"/>
      <c r="C126" s="1"/>
      <c r="D126" s="7"/>
      <c r="E126" s="1"/>
      <c r="F126" s="7"/>
      <c r="G126" s="1"/>
      <c r="H126" s="1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5" t="s">
        <v>344</v>
      </c>
      <c r="U126" s="13" t="s">
        <v>345</v>
      </c>
      <c r="V126" s="4" t="s">
        <v>346</v>
      </c>
      <c r="W126" s="1"/>
      <c r="X126" s="1"/>
      <c r="Y126" s="1"/>
      <c r="Z126" s="1"/>
    </row>
    <row r="127" ht="6.75" customHeight="1">
      <c r="A127" s="1"/>
      <c r="B127" s="1"/>
      <c r="C127" s="1"/>
      <c r="D127" s="7"/>
      <c r="E127" s="1"/>
      <c r="F127" s="7"/>
      <c r="G127" s="1"/>
      <c r="H127" s="1"/>
      <c r="I127" s="9"/>
      <c r="J127" s="1"/>
      <c r="K127" s="1"/>
      <c r="L127" s="2" t="s">
        <v>347</v>
      </c>
      <c r="M127" s="3"/>
      <c r="N127" s="4" t="s">
        <v>348</v>
      </c>
      <c r="O127" s="1"/>
      <c r="P127" s="1"/>
      <c r="Q127" s="1"/>
      <c r="R127" s="1"/>
      <c r="S127" s="1"/>
      <c r="T127" s="1"/>
      <c r="U127" s="15" t="s">
        <v>349</v>
      </c>
      <c r="V127" s="4" t="s">
        <v>350</v>
      </c>
      <c r="W127" s="1"/>
      <c r="X127" s="1"/>
      <c r="Y127" s="1"/>
      <c r="Z127" s="1"/>
    </row>
    <row r="128" ht="6.75" customHeight="1">
      <c r="A128" s="1"/>
      <c r="B128" s="1"/>
      <c r="C128" s="1"/>
      <c r="D128" s="7"/>
      <c r="E128" s="1"/>
      <c r="F128" s="7"/>
      <c r="G128" s="1"/>
      <c r="H128" s="1"/>
      <c r="I128" s="9"/>
      <c r="J128" s="1"/>
      <c r="K128" s="1"/>
      <c r="L128" s="5" t="s">
        <v>351</v>
      </c>
      <c r="M128" s="6"/>
      <c r="N128" s="4" t="s">
        <v>352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6.75" customHeight="1">
      <c r="A129" s="1"/>
      <c r="B129" s="1"/>
      <c r="C129" s="1"/>
      <c r="D129" s="7"/>
      <c r="E129" s="1"/>
      <c r="F129" s="7"/>
      <c r="G129" s="1"/>
      <c r="H129" s="1"/>
      <c r="I129" s="9"/>
      <c r="J129" s="18" t="s">
        <v>353</v>
      </c>
      <c r="K129" s="8"/>
      <c r="L129" s="7"/>
      <c r="M129" s="1"/>
      <c r="N129" s="2" t="s">
        <v>354</v>
      </c>
      <c r="O129" s="3"/>
      <c r="P129" s="4" t="s">
        <v>355</v>
      </c>
      <c r="Q129" s="1"/>
      <c r="R129" s="1"/>
      <c r="S129" s="1"/>
      <c r="T129" s="1"/>
      <c r="U129" s="2" t="s">
        <v>356</v>
      </c>
      <c r="V129" s="4" t="s">
        <v>357</v>
      </c>
      <c r="W129" s="1"/>
      <c r="X129" s="1"/>
      <c r="Y129" s="1"/>
      <c r="Z129" s="1"/>
    </row>
    <row r="130" ht="6.75" customHeight="1">
      <c r="A130" s="1"/>
      <c r="B130" s="1"/>
      <c r="C130" s="1"/>
      <c r="D130" s="7"/>
      <c r="E130" s="1"/>
      <c r="F130" s="7"/>
      <c r="G130" s="1"/>
      <c r="H130" s="1"/>
      <c r="I130" s="1"/>
      <c r="J130" s="15" t="s">
        <v>358</v>
      </c>
      <c r="K130" s="11"/>
      <c r="L130" s="7"/>
      <c r="M130" s="1"/>
      <c r="N130" s="5" t="s">
        <v>359</v>
      </c>
      <c r="O130" s="6"/>
      <c r="P130" s="4" t="s">
        <v>360</v>
      </c>
      <c r="Q130" s="1"/>
      <c r="R130" s="1"/>
      <c r="S130" s="1"/>
      <c r="T130" s="2" t="s">
        <v>361</v>
      </c>
      <c r="U130" s="5" t="s">
        <v>362</v>
      </c>
      <c r="V130" s="4" t="s">
        <v>363</v>
      </c>
      <c r="W130" s="1"/>
      <c r="X130" s="1"/>
      <c r="Y130" s="1"/>
      <c r="Z130" s="1"/>
    </row>
    <row r="131" ht="6.75" customHeight="1">
      <c r="A131" s="1"/>
      <c r="B131" s="1"/>
      <c r="C131" s="1"/>
      <c r="D131" s="7"/>
      <c r="E131" s="1"/>
      <c r="F131" s="7"/>
      <c r="G131" s="1"/>
      <c r="H131" s="1"/>
      <c r="I131" s="1"/>
      <c r="J131" s="1"/>
      <c r="K131" s="9"/>
      <c r="L131" s="13" t="s">
        <v>364</v>
      </c>
      <c r="M131" s="8"/>
      <c r="N131" s="7"/>
      <c r="O131" s="1"/>
      <c r="P131" s="2" t="s">
        <v>365</v>
      </c>
      <c r="Q131" s="3"/>
      <c r="R131" s="4" t="s">
        <v>366</v>
      </c>
      <c r="S131" s="1"/>
      <c r="T131" s="5" t="s">
        <v>367</v>
      </c>
      <c r="U131" s="12"/>
      <c r="V131" s="1"/>
      <c r="W131" s="1"/>
      <c r="X131" s="1"/>
      <c r="Y131" s="1"/>
      <c r="Z131" s="1"/>
    </row>
    <row r="132" ht="6.75" customHeight="1">
      <c r="A132" s="1"/>
      <c r="B132" s="1"/>
      <c r="C132" s="1"/>
      <c r="D132" s="13" t="s">
        <v>368</v>
      </c>
      <c r="E132" s="8"/>
      <c r="F132" s="7"/>
      <c r="G132" s="1"/>
      <c r="H132" s="1"/>
      <c r="I132" s="1"/>
      <c r="J132" s="1"/>
      <c r="K132" s="1"/>
      <c r="L132" s="15" t="s">
        <v>369</v>
      </c>
      <c r="M132" s="11"/>
      <c r="N132" s="7"/>
      <c r="O132" s="1"/>
      <c r="P132" s="5" t="s">
        <v>370</v>
      </c>
      <c r="Q132" s="6"/>
      <c r="R132" s="4" t="s">
        <v>371</v>
      </c>
      <c r="S132" s="9"/>
      <c r="T132" s="1"/>
      <c r="U132" s="13" t="s">
        <v>372</v>
      </c>
      <c r="V132" s="4" t="s">
        <v>373</v>
      </c>
      <c r="W132" s="1"/>
      <c r="X132" s="1"/>
      <c r="Y132" s="1"/>
      <c r="Z132" s="1"/>
    </row>
    <row r="133" ht="6.75" customHeight="1">
      <c r="A133" s="1"/>
      <c r="B133" s="1"/>
      <c r="C133" s="1"/>
      <c r="D133" s="15" t="s">
        <v>374</v>
      </c>
      <c r="E133" s="11"/>
      <c r="F133" s="7"/>
      <c r="G133" s="1"/>
      <c r="H133" s="1"/>
      <c r="I133" s="1"/>
      <c r="J133" s="1"/>
      <c r="K133" s="1"/>
      <c r="L133" s="1"/>
      <c r="M133" s="9"/>
      <c r="N133" s="1"/>
      <c r="O133" s="1"/>
      <c r="P133" s="7"/>
      <c r="Q133" s="1"/>
      <c r="R133" s="2" t="s">
        <v>375</v>
      </c>
      <c r="S133" s="8"/>
      <c r="T133" s="7"/>
      <c r="U133" s="15" t="s">
        <v>376</v>
      </c>
      <c r="V133" s="4" t="s">
        <v>377</v>
      </c>
      <c r="W133" s="1"/>
      <c r="X133" s="1"/>
      <c r="Y133" s="1"/>
      <c r="Z133" s="1"/>
    </row>
    <row r="134" ht="6.75" customHeight="1">
      <c r="A134" s="1"/>
      <c r="B134" s="1"/>
      <c r="C134" s="1"/>
      <c r="D134" s="1"/>
      <c r="E134" s="1"/>
      <c r="F134" s="7"/>
      <c r="G134" s="1"/>
      <c r="H134" s="1"/>
      <c r="I134" s="1"/>
      <c r="J134" s="1"/>
      <c r="K134" s="1"/>
      <c r="L134" s="1"/>
      <c r="M134" s="1"/>
      <c r="N134" s="13" t="s">
        <v>378</v>
      </c>
      <c r="O134" s="8"/>
      <c r="P134" s="7"/>
      <c r="Q134" s="1"/>
      <c r="R134" s="5" t="s">
        <v>379</v>
      </c>
      <c r="S134" s="11"/>
      <c r="T134" s="7"/>
      <c r="U134" s="1"/>
      <c r="V134" s="1"/>
      <c r="W134" s="1"/>
      <c r="X134" s="1"/>
      <c r="Y134" s="1"/>
      <c r="Z134" s="1"/>
    </row>
    <row r="135" ht="6.75" customHeight="1">
      <c r="A135" s="1"/>
      <c r="B135" s="1"/>
      <c r="C135" s="1"/>
      <c r="D135" s="1"/>
      <c r="E135" s="1"/>
      <c r="F135" s="7"/>
      <c r="G135" s="1"/>
      <c r="H135" s="1"/>
      <c r="I135" s="1"/>
      <c r="J135" s="1"/>
      <c r="K135" s="1"/>
      <c r="L135" s="1"/>
      <c r="M135" s="1"/>
      <c r="N135" s="15" t="s">
        <v>380</v>
      </c>
      <c r="O135" s="11"/>
      <c r="P135" s="7"/>
      <c r="Q135" s="1"/>
      <c r="R135" s="7"/>
      <c r="S135" s="1"/>
      <c r="T135" s="7"/>
      <c r="U135" s="2" t="s">
        <v>381</v>
      </c>
      <c r="V135" s="4" t="s">
        <v>382</v>
      </c>
      <c r="W135" s="1"/>
      <c r="X135" s="1"/>
      <c r="Y135" s="1"/>
      <c r="Z135" s="1"/>
    </row>
    <row r="136" ht="6.75" customHeight="1">
      <c r="A136" s="1"/>
      <c r="B136" s="1"/>
      <c r="C136" s="1"/>
      <c r="D136" s="1"/>
      <c r="E136" s="1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7"/>
      <c r="Q136" s="1"/>
      <c r="R136" s="7"/>
      <c r="S136" s="1"/>
      <c r="T136" s="7"/>
      <c r="U136" s="5" t="s">
        <v>383</v>
      </c>
      <c r="V136" s="4" t="s">
        <v>384</v>
      </c>
      <c r="W136" s="1"/>
      <c r="X136" s="1"/>
      <c r="Y136" s="1"/>
      <c r="Z136" s="1"/>
    </row>
    <row r="137" ht="6.75" customHeight="1">
      <c r="A137" s="1"/>
      <c r="B137" s="1"/>
      <c r="C137" s="1"/>
      <c r="D137" s="1"/>
      <c r="E137" s="1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7"/>
      <c r="Q137" s="1"/>
      <c r="R137" s="7"/>
      <c r="S137" s="1"/>
      <c r="T137" s="13" t="s">
        <v>385</v>
      </c>
      <c r="U137" s="12"/>
      <c r="V137" s="1"/>
      <c r="W137" s="1"/>
      <c r="X137" s="1"/>
      <c r="Y137" s="1"/>
      <c r="Z137" s="1"/>
    </row>
    <row r="138" ht="6.75" customHeight="1">
      <c r="A138" s="1"/>
      <c r="B138" s="1"/>
      <c r="C138" s="1"/>
      <c r="D138" s="1"/>
      <c r="E138" s="1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3" t="s">
        <v>386</v>
      </c>
      <c r="Q138" s="8"/>
      <c r="R138" s="7"/>
      <c r="S138" s="1"/>
      <c r="T138" s="15" t="s">
        <v>387</v>
      </c>
      <c r="U138" s="13" t="s">
        <v>388</v>
      </c>
      <c r="V138" s="4" t="s">
        <v>389</v>
      </c>
      <c r="W138" s="1"/>
      <c r="X138" s="1"/>
      <c r="Y138" s="1"/>
      <c r="Z138" s="1"/>
    </row>
    <row r="139" ht="6.75" customHeight="1">
      <c r="A139" s="1"/>
      <c r="B139" s="1"/>
      <c r="C139" s="1"/>
      <c r="D139" s="1"/>
      <c r="E139" s="1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5" t="s">
        <v>390</v>
      </c>
      <c r="Q139" s="11"/>
      <c r="R139" s="7"/>
      <c r="S139" s="1"/>
      <c r="T139" s="1"/>
      <c r="U139" s="15" t="s">
        <v>391</v>
      </c>
      <c r="V139" s="4" t="s">
        <v>392</v>
      </c>
      <c r="W139" s="1"/>
      <c r="X139" s="1"/>
      <c r="Y139" s="1"/>
      <c r="Z139" s="1"/>
    </row>
    <row r="140" ht="6.75" customHeight="1">
      <c r="A140" s="1"/>
      <c r="B140" s="1"/>
      <c r="C140" s="1"/>
      <c r="D140" s="1"/>
      <c r="E140" s="1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"/>
      <c r="S140" s="1"/>
      <c r="T140" s="1"/>
      <c r="U140" s="1"/>
      <c r="V140" s="1"/>
      <c r="W140" s="1"/>
      <c r="X140" s="1"/>
      <c r="Y140" s="1"/>
      <c r="Z140" s="1"/>
    </row>
    <row r="141" ht="6.75" customHeight="1">
      <c r="A141" s="1"/>
      <c r="B141" s="1"/>
      <c r="C141" s="1"/>
      <c r="D141" s="1"/>
      <c r="E141" s="1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"/>
      <c r="S141" s="1"/>
      <c r="T141" s="1"/>
      <c r="U141" s="2" t="s">
        <v>393</v>
      </c>
      <c r="V141" s="4" t="s">
        <v>394</v>
      </c>
      <c r="W141" s="1"/>
      <c r="X141" s="1"/>
      <c r="Y141" s="1"/>
      <c r="Z141" s="1"/>
    </row>
    <row r="142" ht="6.75" customHeight="1">
      <c r="A142" s="1"/>
      <c r="B142" s="1"/>
      <c r="C142" s="1"/>
      <c r="D142" s="1"/>
      <c r="E142" s="1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7"/>
      <c r="S142" s="1"/>
      <c r="T142" s="2" t="s">
        <v>395</v>
      </c>
      <c r="U142" s="5" t="s">
        <v>396</v>
      </c>
      <c r="V142" s="4" t="s">
        <v>397</v>
      </c>
      <c r="W142" s="1"/>
      <c r="X142" s="1"/>
      <c r="Y142" s="1"/>
      <c r="Z142" s="1"/>
    </row>
    <row r="143" ht="6.75" customHeight="1">
      <c r="A143" s="1"/>
      <c r="B143" s="1"/>
      <c r="C143" s="1"/>
      <c r="D143" s="1"/>
      <c r="E143" s="1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7"/>
      <c r="S143" s="1"/>
      <c r="T143" s="5" t="s">
        <v>398</v>
      </c>
      <c r="U143" s="12"/>
      <c r="V143" s="1"/>
      <c r="W143" s="1"/>
      <c r="X143" s="1"/>
      <c r="Y143" s="1"/>
      <c r="Z143" s="1"/>
    </row>
    <row r="144" ht="6.75" customHeight="1">
      <c r="A144" s="1"/>
      <c r="B144" s="1"/>
      <c r="C144" s="1"/>
      <c r="D144" s="1"/>
      <c r="E144" s="1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7"/>
      <c r="S144" s="9"/>
      <c r="T144" s="1"/>
      <c r="U144" s="13" t="s">
        <v>399</v>
      </c>
      <c r="V144" s="4" t="s">
        <v>400</v>
      </c>
      <c r="W144" s="1"/>
      <c r="X144" s="1"/>
      <c r="Y144" s="1"/>
      <c r="Z144" s="1"/>
    </row>
    <row r="145" ht="6.75" customHeight="1">
      <c r="A145" s="1"/>
      <c r="B145" s="1"/>
      <c r="C145" s="1"/>
      <c r="D145" s="1"/>
      <c r="E145" s="1"/>
      <c r="F145" s="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3" t="s">
        <v>401</v>
      </c>
      <c r="S145" s="8"/>
      <c r="T145" s="7"/>
      <c r="U145" s="15" t="s">
        <v>402</v>
      </c>
      <c r="V145" s="4" t="s">
        <v>403</v>
      </c>
      <c r="W145" s="1"/>
      <c r="X145" s="1"/>
      <c r="Y145" s="1"/>
      <c r="Z145" s="1"/>
    </row>
    <row r="146" ht="6.75" customHeight="1">
      <c r="A146" s="1"/>
      <c r="B146" s="1"/>
      <c r="C146" s="1"/>
      <c r="D146" s="1"/>
      <c r="E146" s="1"/>
      <c r="F146" s="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5" t="s">
        <v>404</v>
      </c>
      <c r="S146" s="11"/>
      <c r="T146" s="7"/>
      <c r="U146" s="1"/>
      <c r="V146" s="1"/>
      <c r="W146" s="1"/>
      <c r="X146" s="1"/>
      <c r="Y146" s="1"/>
      <c r="Z146" s="1"/>
    </row>
    <row r="147" ht="6.75" customHeight="1">
      <c r="A147" s="1"/>
      <c r="B147" s="1"/>
      <c r="C147" s="1"/>
      <c r="D147" s="1"/>
      <c r="E147" s="1"/>
      <c r="F147" s="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7"/>
      <c r="U147" s="2" t="s">
        <v>405</v>
      </c>
      <c r="V147" s="4" t="s">
        <v>406</v>
      </c>
      <c r="W147" s="1"/>
      <c r="X147" s="1"/>
      <c r="Y147" s="1"/>
      <c r="Z147" s="1"/>
    </row>
    <row r="148" ht="6.75" customHeight="1">
      <c r="A148" s="1"/>
      <c r="B148" s="1"/>
      <c r="C148" s="1"/>
      <c r="D148" s="1"/>
      <c r="E148" s="1"/>
      <c r="F148" s="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7"/>
      <c r="U148" s="5" t="s">
        <v>407</v>
      </c>
      <c r="V148" s="4" t="s">
        <v>408</v>
      </c>
      <c r="W148" s="1"/>
      <c r="X148" s="1"/>
      <c r="Y148" s="1"/>
      <c r="Z148" s="1"/>
    </row>
    <row r="149" ht="6.75" customHeight="1">
      <c r="A149" s="1"/>
      <c r="B149" s="1"/>
      <c r="C149" s="1"/>
      <c r="D149" s="1"/>
      <c r="E149" s="1"/>
      <c r="F149" s="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3" t="s">
        <v>409</v>
      </c>
      <c r="U149" s="12"/>
      <c r="V149" s="1"/>
      <c r="W149" s="1"/>
      <c r="X149" s="1"/>
      <c r="Y149" s="1"/>
      <c r="Z149" s="1"/>
    </row>
    <row r="150" ht="6.75" customHeight="1">
      <c r="A150" s="1"/>
      <c r="B150" s="1"/>
      <c r="C150" s="1"/>
      <c r="D150" s="1"/>
      <c r="E150" s="1"/>
      <c r="F150" s="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5" t="s">
        <v>410</v>
      </c>
      <c r="U150" s="13" t="s">
        <v>411</v>
      </c>
      <c r="V150" s="4" t="s">
        <v>412</v>
      </c>
      <c r="W150" s="1"/>
      <c r="X150" s="1"/>
      <c r="Y150" s="1"/>
      <c r="Z150" s="1"/>
    </row>
    <row r="151" ht="6.75" customHeight="1">
      <c r="A151" s="1"/>
      <c r="B151" s="1"/>
      <c r="C151" s="1"/>
      <c r="D151" s="1"/>
      <c r="E151" s="1"/>
      <c r="F151" s="7"/>
      <c r="G151" s="1"/>
      <c r="H151" s="2" t="s">
        <v>413</v>
      </c>
      <c r="I151" s="3"/>
      <c r="J151" s="4" t="s">
        <v>414</v>
      </c>
      <c r="K151" s="1"/>
      <c r="L151" s="2" t="s">
        <v>415</v>
      </c>
      <c r="M151" s="3"/>
      <c r="N151" s="4" t="s">
        <v>416</v>
      </c>
      <c r="O151" s="1"/>
      <c r="P151" s="1"/>
      <c r="Q151" s="1"/>
      <c r="R151" s="1"/>
      <c r="S151" s="1"/>
      <c r="T151" s="1"/>
      <c r="U151" s="15" t="s">
        <v>417</v>
      </c>
      <c r="V151" s="4" t="s">
        <v>418</v>
      </c>
      <c r="W151" s="1"/>
      <c r="X151" s="1"/>
      <c r="Y151" s="1"/>
      <c r="Z151" s="1"/>
    </row>
    <row r="152" ht="6.75" customHeight="1">
      <c r="A152" s="1"/>
      <c r="B152" s="1"/>
      <c r="C152" s="1"/>
      <c r="D152" s="1"/>
      <c r="E152" s="1"/>
      <c r="F152" s="7"/>
      <c r="G152" s="9"/>
      <c r="H152" s="10" t="s">
        <v>419</v>
      </c>
      <c r="I152" s="6"/>
      <c r="J152" s="4" t="s">
        <v>420</v>
      </c>
      <c r="K152" s="1"/>
      <c r="L152" s="5" t="s">
        <v>421</v>
      </c>
      <c r="M152" s="6"/>
      <c r="N152" s="4" t="s">
        <v>422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6.75" customHeight="1">
      <c r="A153" s="1"/>
      <c r="B153" s="1"/>
      <c r="C153" s="1"/>
      <c r="D153" s="1"/>
      <c r="E153" s="1"/>
      <c r="F153" s="7"/>
      <c r="G153" s="9"/>
      <c r="H153" s="1"/>
      <c r="I153" s="1"/>
      <c r="J153" s="2" t="s">
        <v>423</v>
      </c>
      <c r="K153" s="8"/>
      <c r="L153" s="7"/>
      <c r="M153" s="1"/>
      <c r="N153" s="2" t="s">
        <v>424</v>
      </c>
      <c r="O153" s="3"/>
      <c r="P153" s="4" t="s">
        <v>425</v>
      </c>
      <c r="Q153" s="1"/>
      <c r="R153" s="1"/>
      <c r="S153" s="1"/>
      <c r="T153" s="1"/>
      <c r="U153" s="2" t="s">
        <v>426</v>
      </c>
      <c r="V153" s="4" t="s">
        <v>427</v>
      </c>
      <c r="W153" s="1"/>
      <c r="X153" s="1"/>
      <c r="Y153" s="1"/>
      <c r="Z153" s="1"/>
    </row>
    <row r="154" ht="6.75" customHeight="1">
      <c r="A154" s="1"/>
      <c r="B154" s="1"/>
      <c r="C154" s="1"/>
      <c r="D154" s="1"/>
      <c r="E154" s="1"/>
      <c r="F154" s="7"/>
      <c r="G154" s="9"/>
      <c r="H154" s="1"/>
      <c r="I154" s="9"/>
      <c r="J154" s="10" t="s">
        <v>428</v>
      </c>
      <c r="K154" s="11"/>
      <c r="L154" s="7"/>
      <c r="M154" s="1"/>
      <c r="N154" s="5" t="s">
        <v>429</v>
      </c>
      <c r="O154" s="6"/>
      <c r="P154" s="4" t="s">
        <v>430</v>
      </c>
      <c r="Q154" s="1"/>
      <c r="R154" s="1"/>
      <c r="S154" s="1"/>
      <c r="T154" s="2" t="s">
        <v>431</v>
      </c>
      <c r="U154" s="5" t="s">
        <v>432</v>
      </c>
      <c r="V154" s="4" t="s">
        <v>433</v>
      </c>
      <c r="W154" s="1"/>
      <c r="X154" s="1"/>
      <c r="Y154" s="1"/>
      <c r="Z154" s="1"/>
    </row>
    <row r="155" ht="6.75" customHeight="1">
      <c r="A155" s="1"/>
      <c r="B155" s="1"/>
      <c r="C155" s="1"/>
      <c r="D155" s="1"/>
      <c r="E155" s="1"/>
      <c r="F155" s="7"/>
      <c r="G155" s="9"/>
      <c r="H155" s="1"/>
      <c r="I155" s="9"/>
      <c r="J155" s="1"/>
      <c r="K155" s="9"/>
      <c r="L155" s="13" t="s">
        <v>434</v>
      </c>
      <c r="M155" s="8"/>
      <c r="N155" s="7"/>
      <c r="O155" s="1"/>
      <c r="P155" s="2" t="s">
        <v>435</v>
      </c>
      <c r="Q155" s="3"/>
      <c r="R155" s="4" t="s">
        <v>436</v>
      </c>
      <c r="S155" s="1"/>
      <c r="T155" s="5" t="s">
        <v>437</v>
      </c>
      <c r="U155" s="12"/>
      <c r="V155" s="1"/>
      <c r="W155" s="1"/>
      <c r="X155" s="1"/>
      <c r="Y155" s="1"/>
      <c r="Z155" s="1"/>
    </row>
    <row r="156" ht="6.75" customHeight="1">
      <c r="A156" s="1"/>
      <c r="B156" s="1"/>
      <c r="C156" s="1"/>
      <c r="D156" s="1"/>
      <c r="E156" s="1"/>
      <c r="F156" s="7"/>
      <c r="G156" s="9"/>
      <c r="H156" s="1"/>
      <c r="I156" s="9"/>
      <c r="J156" s="1"/>
      <c r="K156" s="1"/>
      <c r="L156" s="15" t="s">
        <v>438</v>
      </c>
      <c r="M156" s="11"/>
      <c r="N156" s="7"/>
      <c r="O156" s="1"/>
      <c r="P156" s="5" t="s">
        <v>439</v>
      </c>
      <c r="Q156" s="6"/>
      <c r="R156" s="4" t="s">
        <v>440</v>
      </c>
      <c r="S156" s="9"/>
      <c r="T156" s="1"/>
      <c r="U156" s="13" t="s">
        <v>441</v>
      </c>
      <c r="V156" s="4" t="s">
        <v>442</v>
      </c>
      <c r="W156" s="1"/>
      <c r="X156" s="1"/>
      <c r="Y156" s="1"/>
      <c r="Z156" s="1"/>
    </row>
    <row r="157" ht="6.75" customHeight="1">
      <c r="A157" s="1"/>
      <c r="B157" s="1"/>
      <c r="C157" s="1"/>
      <c r="D157" s="1"/>
      <c r="E157" s="1"/>
      <c r="F157" s="13" t="s">
        <v>443</v>
      </c>
      <c r="G157" s="8"/>
      <c r="H157" s="1"/>
      <c r="I157" s="9"/>
      <c r="J157" s="1"/>
      <c r="K157" s="1"/>
      <c r="L157" s="1"/>
      <c r="M157" s="9"/>
      <c r="N157" s="1"/>
      <c r="O157" s="1"/>
      <c r="P157" s="7"/>
      <c r="Q157" s="1"/>
      <c r="R157" s="2" t="s">
        <v>444</v>
      </c>
      <c r="S157" s="8"/>
      <c r="T157" s="7"/>
      <c r="U157" s="15" t="s">
        <v>445</v>
      </c>
      <c r="V157" s="4" t="s">
        <v>446</v>
      </c>
      <c r="W157" s="1"/>
      <c r="X157" s="1"/>
      <c r="Y157" s="1"/>
      <c r="Z157" s="1"/>
    </row>
    <row r="158" ht="6.75" customHeight="1">
      <c r="A158" s="1"/>
      <c r="B158" s="1"/>
      <c r="C158" s="1"/>
      <c r="D158" s="1"/>
      <c r="E158" s="1"/>
      <c r="F158" s="15" t="s">
        <v>447</v>
      </c>
      <c r="G158" s="11"/>
      <c r="H158" s="1"/>
      <c r="I158" s="9"/>
      <c r="J158" s="1"/>
      <c r="K158" s="1"/>
      <c r="L158" s="1"/>
      <c r="M158" s="1"/>
      <c r="N158" s="13" t="s">
        <v>448</v>
      </c>
      <c r="O158" s="8"/>
      <c r="P158" s="7"/>
      <c r="Q158" s="1"/>
      <c r="R158" s="5" t="s">
        <v>449</v>
      </c>
      <c r="S158" s="11"/>
      <c r="T158" s="7"/>
      <c r="U158" s="1"/>
      <c r="V158" s="1"/>
      <c r="W158" s="1"/>
      <c r="X158" s="1"/>
      <c r="Y158" s="1"/>
      <c r="Z158" s="1"/>
    </row>
    <row r="159" ht="6.75" customHeight="1">
      <c r="A159" s="1"/>
      <c r="B159" s="1"/>
      <c r="C159" s="1"/>
      <c r="D159" s="1"/>
      <c r="E159" s="1"/>
      <c r="F159" s="1"/>
      <c r="G159" s="9"/>
      <c r="H159" s="1"/>
      <c r="I159" s="9"/>
      <c r="J159" s="1"/>
      <c r="K159" s="1"/>
      <c r="L159" s="1"/>
      <c r="M159" s="1"/>
      <c r="N159" s="15" t="s">
        <v>450</v>
      </c>
      <c r="O159" s="11"/>
      <c r="P159" s="7"/>
      <c r="Q159" s="1"/>
      <c r="R159" s="7"/>
      <c r="S159" s="1"/>
      <c r="T159" s="7"/>
      <c r="U159" s="2" t="s">
        <v>451</v>
      </c>
      <c r="V159" s="4" t="s">
        <v>452</v>
      </c>
      <c r="W159" s="1"/>
      <c r="X159" s="1"/>
      <c r="Y159" s="1"/>
      <c r="Z159" s="1"/>
    </row>
    <row r="160" ht="6.75" customHeight="1">
      <c r="A160" s="1"/>
      <c r="B160" s="1"/>
      <c r="C160" s="1"/>
      <c r="D160" s="1"/>
      <c r="E160" s="1"/>
      <c r="F160" s="1"/>
      <c r="G160" s="9"/>
      <c r="H160" s="1"/>
      <c r="I160" s="9"/>
      <c r="J160" s="1"/>
      <c r="K160" s="1"/>
      <c r="L160" s="1"/>
      <c r="M160" s="1"/>
      <c r="N160" s="1"/>
      <c r="O160" s="1"/>
      <c r="P160" s="7"/>
      <c r="Q160" s="1"/>
      <c r="R160" s="7"/>
      <c r="S160" s="1"/>
      <c r="T160" s="7"/>
      <c r="U160" s="5" t="s">
        <v>453</v>
      </c>
      <c r="V160" s="4" t="s">
        <v>454</v>
      </c>
      <c r="W160" s="1"/>
      <c r="X160" s="1"/>
      <c r="Y160" s="1"/>
      <c r="Z160" s="1"/>
    </row>
    <row r="161" ht="6.75" customHeight="1">
      <c r="A161" s="1"/>
      <c r="B161" s="1"/>
      <c r="C161" s="1"/>
      <c r="D161" s="1"/>
      <c r="E161" s="1"/>
      <c r="F161" s="1"/>
      <c r="G161" s="9"/>
      <c r="H161" s="1"/>
      <c r="I161" s="9"/>
      <c r="J161" s="1"/>
      <c r="K161" s="1"/>
      <c r="L161" s="1"/>
      <c r="M161" s="1"/>
      <c r="N161" s="1"/>
      <c r="O161" s="9"/>
      <c r="P161" s="1"/>
      <c r="Q161" s="1"/>
      <c r="R161" s="7"/>
      <c r="S161" s="1"/>
      <c r="T161" s="13" t="s">
        <v>455</v>
      </c>
      <c r="U161" s="12"/>
      <c r="V161" s="1"/>
      <c r="W161" s="1"/>
      <c r="X161" s="1"/>
      <c r="Y161" s="1"/>
      <c r="Z161" s="1"/>
    </row>
    <row r="162" ht="6.75" customHeight="1">
      <c r="A162" s="1"/>
      <c r="B162" s="1"/>
      <c r="C162" s="1"/>
      <c r="D162" s="1"/>
      <c r="E162" s="1"/>
      <c r="F162" s="1"/>
      <c r="G162" s="9"/>
      <c r="H162" s="1"/>
      <c r="I162" s="9"/>
      <c r="J162" s="1"/>
      <c r="K162" s="1"/>
      <c r="L162" s="1"/>
      <c r="M162" s="1"/>
      <c r="N162" s="1"/>
      <c r="O162" s="9"/>
      <c r="P162" s="1"/>
      <c r="Q162" s="1"/>
      <c r="R162" s="7"/>
      <c r="S162" s="1"/>
      <c r="T162" s="15" t="s">
        <v>456</v>
      </c>
      <c r="U162" s="13" t="s">
        <v>457</v>
      </c>
      <c r="V162" s="4" t="s">
        <v>458</v>
      </c>
      <c r="W162" s="1"/>
      <c r="X162" s="1"/>
      <c r="Y162" s="1"/>
      <c r="Z162" s="1"/>
    </row>
    <row r="163" ht="6.75" customHeight="1">
      <c r="A163" s="1"/>
      <c r="B163" s="1"/>
      <c r="C163" s="1"/>
      <c r="D163" s="1"/>
      <c r="E163" s="1"/>
      <c r="F163" s="1"/>
      <c r="G163" s="9"/>
      <c r="H163" s="1"/>
      <c r="I163" s="9"/>
      <c r="J163" s="1"/>
      <c r="K163" s="1"/>
      <c r="L163" s="1"/>
      <c r="M163" s="1"/>
      <c r="N163" s="1"/>
      <c r="O163" s="1"/>
      <c r="P163" s="13" t="s">
        <v>459</v>
      </c>
      <c r="Q163" s="8"/>
      <c r="R163" s="7"/>
      <c r="S163" s="1"/>
      <c r="T163" s="1"/>
      <c r="U163" s="15" t="s">
        <v>460</v>
      </c>
      <c r="V163" s="4" t="s">
        <v>461</v>
      </c>
      <c r="W163" s="1"/>
      <c r="X163" s="1"/>
      <c r="Y163" s="1"/>
      <c r="Z163" s="1"/>
    </row>
    <row r="164" ht="6.75" customHeight="1">
      <c r="A164" s="1"/>
      <c r="B164" s="1"/>
      <c r="C164" s="1"/>
      <c r="D164" s="1"/>
      <c r="E164" s="1"/>
      <c r="F164" s="1"/>
      <c r="G164" s="9"/>
      <c r="H164" s="18" t="s">
        <v>462</v>
      </c>
      <c r="I164" s="8"/>
      <c r="J164" s="1"/>
      <c r="K164" s="1"/>
      <c r="L164" s="1"/>
      <c r="M164" s="1"/>
      <c r="N164" s="1"/>
      <c r="O164" s="1"/>
      <c r="P164" s="15" t="s">
        <v>463</v>
      </c>
      <c r="Q164" s="11"/>
      <c r="R164" s="7"/>
      <c r="S164" s="1"/>
      <c r="T164" s="1"/>
      <c r="U164" s="1"/>
      <c r="V164" s="1"/>
      <c r="W164" s="1"/>
      <c r="X164" s="1"/>
      <c r="Y164" s="1"/>
      <c r="Z164" s="1"/>
    </row>
    <row r="165" ht="6.75" customHeight="1">
      <c r="A165" s="1"/>
      <c r="B165" s="1"/>
      <c r="C165" s="1"/>
      <c r="D165" s="1"/>
      <c r="E165" s="1"/>
      <c r="F165" s="1"/>
      <c r="G165" s="1"/>
      <c r="H165" s="15" t="s">
        <v>464</v>
      </c>
      <c r="I165" s="11"/>
      <c r="J165" s="1"/>
      <c r="K165" s="1"/>
      <c r="L165" s="1"/>
      <c r="M165" s="1"/>
      <c r="N165" s="1"/>
      <c r="O165" s="1"/>
      <c r="P165" s="1"/>
      <c r="Q165" s="1"/>
      <c r="R165" s="7"/>
      <c r="S165" s="1"/>
      <c r="T165" s="1"/>
      <c r="U165" s="2" t="s">
        <v>465</v>
      </c>
      <c r="V165" s="4" t="s">
        <v>466</v>
      </c>
      <c r="W165" s="1"/>
      <c r="X165" s="1"/>
      <c r="Y165" s="1"/>
      <c r="Z165" s="1"/>
    </row>
    <row r="166" ht="6.75" customHeight="1">
      <c r="A166" s="1"/>
      <c r="B166" s="1"/>
      <c r="C166" s="1"/>
      <c r="D166" s="1"/>
      <c r="E166" s="1"/>
      <c r="F166" s="1"/>
      <c r="G166" s="1"/>
      <c r="H166" s="1"/>
      <c r="I166" s="9"/>
      <c r="J166" s="1"/>
      <c r="K166" s="1"/>
      <c r="L166" s="1"/>
      <c r="M166" s="1"/>
      <c r="N166" s="1"/>
      <c r="O166" s="1"/>
      <c r="P166" s="1"/>
      <c r="Q166" s="1"/>
      <c r="R166" s="7"/>
      <c r="S166" s="1"/>
      <c r="T166" s="2" t="s">
        <v>467</v>
      </c>
      <c r="U166" s="5" t="s">
        <v>468</v>
      </c>
      <c r="V166" s="4" t="s">
        <v>469</v>
      </c>
      <c r="W166" s="1"/>
      <c r="X166" s="1"/>
      <c r="Y166" s="1"/>
      <c r="Z166" s="1"/>
    </row>
    <row r="167" ht="6.75" customHeight="1">
      <c r="A167" s="1"/>
      <c r="B167" s="1"/>
      <c r="C167" s="1"/>
      <c r="D167" s="1"/>
      <c r="E167" s="1"/>
      <c r="F167" s="1"/>
      <c r="G167" s="1"/>
      <c r="H167" s="1"/>
      <c r="I167" s="9"/>
      <c r="J167" s="1"/>
      <c r="K167" s="1"/>
      <c r="L167" s="1"/>
      <c r="M167" s="1"/>
      <c r="N167" s="1"/>
      <c r="O167" s="1"/>
      <c r="P167" s="1"/>
      <c r="Q167" s="1"/>
      <c r="R167" s="7"/>
      <c r="S167" s="1"/>
      <c r="T167" s="5" t="s">
        <v>470</v>
      </c>
      <c r="U167" s="12"/>
      <c r="V167" s="1"/>
      <c r="W167" s="1"/>
      <c r="X167" s="1"/>
      <c r="Y167" s="1"/>
      <c r="Z167" s="1"/>
    </row>
    <row r="168" ht="6.75" customHeight="1">
      <c r="A168" s="1"/>
      <c r="B168" s="1"/>
      <c r="C168" s="1"/>
      <c r="D168" s="1"/>
      <c r="E168" s="1"/>
      <c r="F168" s="1"/>
      <c r="G168" s="1"/>
      <c r="H168" s="1"/>
      <c r="I168" s="9"/>
      <c r="J168" s="1"/>
      <c r="K168" s="1"/>
      <c r="L168" s="1"/>
      <c r="M168" s="1"/>
      <c r="N168" s="1"/>
      <c r="O168" s="1"/>
      <c r="P168" s="1"/>
      <c r="Q168" s="9"/>
      <c r="R168" s="1"/>
      <c r="S168" s="9"/>
      <c r="T168" s="1"/>
      <c r="U168" s="13" t="s">
        <v>471</v>
      </c>
      <c r="V168" s="4" t="s">
        <v>472</v>
      </c>
      <c r="W168" s="1"/>
      <c r="X168" s="1"/>
      <c r="Y168" s="1"/>
      <c r="Z168" s="1"/>
    </row>
    <row r="169" ht="6.75" customHeight="1">
      <c r="A169" s="1"/>
      <c r="B169" s="1"/>
      <c r="C169" s="1"/>
      <c r="D169" s="1"/>
      <c r="E169" s="1"/>
      <c r="F169" s="1"/>
      <c r="G169" s="1"/>
      <c r="H169" s="1"/>
      <c r="I169" s="9"/>
      <c r="J169" s="1"/>
      <c r="K169" s="1"/>
      <c r="L169" s="1"/>
      <c r="M169" s="1"/>
      <c r="N169" s="1"/>
      <c r="O169" s="1"/>
      <c r="P169" s="1"/>
      <c r="Q169" s="1"/>
      <c r="R169" s="13" t="s">
        <v>473</v>
      </c>
      <c r="S169" s="8"/>
      <c r="T169" s="7"/>
      <c r="U169" s="15" t="s">
        <v>474</v>
      </c>
      <c r="V169" s="4" t="s">
        <v>475</v>
      </c>
      <c r="W169" s="1"/>
      <c r="X169" s="1"/>
      <c r="Y169" s="1"/>
      <c r="Z169" s="1"/>
    </row>
    <row r="170" ht="6.75" customHeight="1">
      <c r="A170" s="1"/>
      <c r="B170" s="1"/>
      <c r="C170" s="1"/>
      <c r="D170" s="1"/>
      <c r="E170" s="1"/>
      <c r="F170" s="1"/>
      <c r="G170" s="1"/>
      <c r="H170" s="1"/>
      <c r="I170" s="9"/>
      <c r="J170" s="1"/>
      <c r="K170" s="1"/>
      <c r="L170" s="1"/>
      <c r="M170" s="1"/>
      <c r="N170" s="1"/>
      <c r="O170" s="1"/>
      <c r="P170" s="1"/>
      <c r="Q170" s="1"/>
      <c r="R170" s="15" t="s">
        <v>476</v>
      </c>
      <c r="S170" s="11"/>
      <c r="T170" s="7"/>
      <c r="U170" s="1"/>
      <c r="V170" s="1"/>
      <c r="W170" s="1"/>
      <c r="X170" s="1"/>
      <c r="Y170" s="1"/>
      <c r="Z170" s="1"/>
    </row>
    <row r="171" ht="6.75" customHeight="1">
      <c r="A171" s="1"/>
      <c r="B171" s="1"/>
      <c r="C171" s="1"/>
      <c r="D171" s="1"/>
      <c r="E171" s="1"/>
      <c r="F171" s="1"/>
      <c r="G171" s="1"/>
      <c r="H171" s="1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7"/>
      <c r="U171" s="2" t="s">
        <v>477</v>
      </c>
      <c r="V171" s="4" t="s">
        <v>478</v>
      </c>
      <c r="W171" s="1"/>
      <c r="X171" s="1"/>
      <c r="Y171" s="1"/>
      <c r="Z171" s="1"/>
    </row>
    <row r="172" ht="6.75" customHeight="1">
      <c r="A172" s="1"/>
      <c r="B172" s="1"/>
      <c r="C172" s="1"/>
      <c r="D172" s="1"/>
      <c r="E172" s="1"/>
      <c r="F172" s="1"/>
      <c r="G172" s="1"/>
      <c r="H172" s="1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7"/>
      <c r="U172" s="5" t="s">
        <v>479</v>
      </c>
      <c r="V172" s="4" t="s">
        <v>480</v>
      </c>
      <c r="W172" s="1"/>
      <c r="X172" s="1"/>
      <c r="Y172" s="1"/>
      <c r="Z172" s="1"/>
    </row>
    <row r="173" ht="6.75" customHeight="1">
      <c r="A173" s="1"/>
      <c r="B173" s="1"/>
      <c r="C173" s="1"/>
      <c r="D173" s="1"/>
      <c r="E173" s="1"/>
      <c r="F173" s="1"/>
      <c r="G173" s="1"/>
      <c r="H173" s="1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3" t="s">
        <v>481</v>
      </c>
      <c r="U173" s="12"/>
      <c r="V173" s="1"/>
      <c r="W173" s="1"/>
      <c r="X173" s="1"/>
      <c r="Y173" s="1"/>
      <c r="Z173" s="1"/>
    </row>
    <row r="174" ht="6.75" customHeight="1">
      <c r="A174" s="1"/>
      <c r="B174" s="1"/>
      <c r="C174" s="1"/>
      <c r="D174" s="1"/>
      <c r="E174" s="1"/>
      <c r="F174" s="1"/>
      <c r="G174" s="1"/>
      <c r="H174" s="1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5" t="s">
        <v>482</v>
      </c>
      <c r="U174" s="13" t="s">
        <v>483</v>
      </c>
      <c r="V174" s="4" t="s">
        <v>484</v>
      </c>
      <c r="W174" s="1"/>
      <c r="X174" s="1"/>
      <c r="Y174" s="1"/>
      <c r="Z174" s="1"/>
    </row>
    <row r="175" ht="6.75" customHeight="1">
      <c r="A175" s="1"/>
      <c r="B175" s="1"/>
      <c r="C175" s="1"/>
      <c r="D175" s="1"/>
      <c r="E175" s="1"/>
      <c r="F175" s="1"/>
      <c r="G175" s="1"/>
      <c r="H175" s="1"/>
      <c r="I175" s="9"/>
      <c r="J175" s="1"/>
      <c r="K175" s="1"/>
      <c r="L175" s="2" t="s">
        <v>485</v>
      </c>
      <c r="M175" s="3"/>
      <c r="N175" s="4" t="s">
        <v>486</v>
      </c>
      <c r="O175" s="1"/>
      <c r="P175" s="1"/>
      <c r="Q175" s="1"/>
      <c r="R175" s="1"/>
      <c r="S175" s="1"/>
      <c r="T175" s="1"/>
      <c r="U175" s="15" t="s">
        <v>487</v>
      </c>
      <c r="V175" s="4" t="s">
        <v>488</v>
      </c>
      <c r="W175" s="1"/>
      <c r="X175" s="1"/>
      <c r="Y175" s="1"/>
      <c r="Z175" s="1"/>
    </row>
    <row r="176" ht="6.75" customHeight="1">
      <c r="A176" s="1"/>
      <c r="B176" s="1"/>
      <c r="C176" s="1"/>
      <c r="D176" s="1"/>
      <c r="E176" s="1"/>
      <c r="F176" s="1"/>
      <c r="G176" s="1"/>
      <c r="H176" s="1"/>
      <c r="I176" s="9"/>
      <c r="J176" s="1"/>
      <c r="K176" s="1"/>
      <c r="L176" s="5" t="s">
        <v>489</v>
      </c>
      <c r="M176" s="6"/>
      <c r="N176" s="4" t="s">
        <v>490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6.75" customHeight="1">
      <c r="A177" s="1"/>
      <c r="B177" s="1"/>
      <c r="C177" s="1"/>
      <c r="D177" s="1"/>
      <c r="E177" s="1"/>
      <c r="F177" s="1"/>
      <c r="G177" s="1"/>
      <c r="H177" s="1"/>
      <c r="I177" s="9"/>
      <c r="J177" s="18" t="s">
        <v>491</v>
      </c>
      <c r="K177" s="8"/>
      <c r="L177" s="7"/>
      <c r="M177" s="1"/>
      <c r="N177" s="2" t="s">
        <v>492</v>
      </c>
      <c r="O177" s="3"/>
      <c r="P177" s="4" t="s">
        <v>493</v>
      </c>
      <c r="Q177" s="1"/>
      <c r="R177" s="1"/>
      <c r="S177" s="1"/>
      <c r="T177" s="1"/>
      <c r="U177" s="2" t="s">
        <v>494</v>
      </c>
      <c r="V177" s="4" t="s">
        <v>495</v>
      </c>
      <c r="W177" s="1"/>
      <c r="X177" s="1"/>
      <c r="Y177" s="1"/>
      <c r="Z177" s="1"/>
    </row>
    <row r="178" ht="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5" t="s">
        <v>496</v>
      </c>
      <c r="K178" s="11"/>
      <c r="L178" s="7"/>
      <c r="M178" s="1"/>
      <c r="N178" s="5" t="s">
        <v>497</v>
      </c>
      <c r="O178" s="6"/>
      <c r="P178" s="4" t="s">
        <v>498</v>
      </c>
      <c r="Q178" s="1"/>
      <c r="R178" s="1"/>
      <c r="S178" s="1"/>
      <c r="T178" s="2" t="s">
        <v>499</v>
      </c>
      <c r="U178" s="5" t="s">
        <v>500</v>
      </c>
      <c r="V178" s="4" t="s">
        <v>501</v>
      </c>
      <c r="W178" s="1"/>
      <c r="X178" s="1"/>
      <c r="Y178" s="1"/>
      <c r="Z178" s="1"/>
    </row>
    <row r="179" ht="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9"/>
      <c r="L179" s="13" t="s">
        <v>502</v>
      </c>
      <c r="M179" s="8"/>
      <c r="N179" s="7"/>
      <c r="O179" s="1"/>
      <c r="P179" s="2" t="s">
        <v>503</v>
      </c>
      <c r="Q179" s="3"/>
      <c r="R179" s="4" t="s">
        <v>504</v>
      </c>
      <c r="S179" s="1"/>
      <c r="T179" s="5" t="s">
        <v>505</v>
      </c>
      <c r="U179" s="12"/>
      <c r="V179" s="1"/>
      <c r="W179" s="1"/>
      <c r="X179" s="1"/>
      <c r="Y179" s="1"/>
      <c r="Z179" s="1"/>
    </row>
    <row r="180" ht="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5" t="s">
        <v>506</v>
      </c>
      <c r="M180" s="11"/>
      <c r="N180" s="7"/>
      <c r="O180" s="1"/>
      <c r="P180" s="5" t="s">
        <v>507</v>
      </c>
      <c r="Q180" s="6"/>
      <c r="R180" s="4" t="s">
        <v>508</v>
      </c>
      <c r="S180" s="9"/>
      <c r="T180" s="1"/>
      <c r="U180" s="13" t="s">
        <v>509</v>
      </c>
      <c r="V180" s="4" t="s">
        <v>510</v>
      </c>
      <c r="W180" s="1"/>
      <c r="X180" s="1"/>
      <c r="Y180" s="1"/>
      <c r="Z180" s="1"/>
    </row>
    <row r="181" ht="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9"/>
      <c r="N181" s="1"/>
      <c r="O181" s="1"/>
      <c r="P181" s="7"/>
      <c r="Q181" s="1"/>
      <c r="R181" s="2" t="s">
        <v>511</v>
      </c>
      <c r="S181" s="8"/>
      <c r="T181" s="7"/>
      <c r="U181" s="15" t="s">
        <v>512</v>
      </c>
      <c r="V181" s="4" t="s">
        <v>513</v>
      </c>
      <c r="W181" s="1"/>
      <c r="X181" s="1"/>
      <c r="Y181" s="1"/>
      <c r="Z181" s="1"/>
    </row>
    <row r="182" ht="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3" t="s">
        <v>514</v>
      </c>
      <c r="O182" s="8"/>
      <c r="P182" s="7"/>
      <c r="Q182" s="1"/>
      <c r="R182" s="5" t="s">
        <v>515</v>
      </c>
      <c r="S182" s="11"/>
      <c r="T182" s="7"/>
      <c r="U182" s="1"/>
      <c r="V182" s="1"/>
      <c r="W182" s="1"/>
      <c r="X182" s="1"/>
      <c r="Y182" s="1"/>
      <c r="Z182" s="1"/>
    </row>
    <row r="183" ht="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5" t="s">
        <v>516</v>
      </c>
      <c r="O183" s="11"/>
      <c r="P183" s="7"/>
      <c r="Q183" s="1"/>
      <c r="R183" s="7"/>
      <c r="S183" s="1"/>
      <c r="T183" s="7"/>
      <c r="U183" s="2" t="s">
        <v>517</v>
      </c>
      <c r="V183" s="4" t="s">
        <v>518</v>
      </c>
      <c r="W183" s="1"/>
      <c r="X183" s="1"/>
      <c r="Y183" s="1"/>
      <c r="Z183" s="1"/>
    </row>
    <row r="184" ht="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7"/>
      <c r="Q184" s="1"/>
      <c r="R184" s="7"/>
      <c r="S184" s="1"/>
      <c r="T184" s="7"/>
      <c r="U184" s="5" t="s">
        <v>519</v>
      </c>
      <c r="V184" s="4" t="s">
        <v>520</v>
      </c>
      <c r="W184" s="1"/>
      <c r="X184" s="1"/>
      <c r="Y184" s="1"/>
      <c r="Z184" s="1"/>
    </row>
    <row r="185" ht="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7"/>
      <c r="Q185" s="1"/>
      <c r="R185" s="7"/>
      <c r="S185" s="1"/>
      <c r="T185" s="13" t="s">
        <v>521</v>
      </c>
      <c r="U185" s="12"/>
      <c r="V185" s="1"/>
      <c r="W185" s="1"/>
      <c r="X185" s="1"/>
      <c r="Y185" s="1"/>
      <c r="Z185" s="1"/>
    </row>
    <row r="186" ht="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3" t="s">
        <v>522</v>
      </c>
      <c r="Q186" s="8"/>
      <c r="R186" s="7"/>
      <c r="S186" s="1"/>
      <c r="T186" s="15" t="s">
        <v>523</v>
      </c>
      <c r="U186" s="13" t="s">
        <v>524</v>
      </c>
      <c r="V186" s="4" t="s">
        <v>525</v>
      </c>
      <c r="W186" s="1"/>
      <c r="X186" s="1"/>
      <c r="Y186" s="1"/>
      <c r="Z186" s="1"/>
    </row>
    <row r="187" ht="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5" t="s">
        <v>526</v>
      </c>
      <c r="Q187" s="11"/>
      <c r="R187" s="7"/>
      <c r="S187" s="1"/>
      <c r="T187" s="1"/>
      <c r="U187" s="15" t="s">
        <v>527</v>
      </c>
      <c r="V187" s="4" t="s">
        <v>528</v>
      </c>
      <c r="W187" s="1"/>
      <c r="X187" s="1"/>
      <c r="Y187" s="1"/>
      <c r="Z187" s="1"/>
    </row>
    <row r="188" ht="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7"/>
      <c r="S188" s="1"/>
      <c r="T188" s="1"/>
      <c r="U188" s="1"/>
      <c r="V188" s="1"/>
      <c r="W188" s="1"/>
      <c r="X188" s="1"/>
      <c r="Y188" s="1"/>
      <c r="Z188" s="1"/>
    </row>
    <row r="189" ht="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7"/>
      <c r="S189" s="1"/>
      <c r="T189" s="1"/>
      <c r="U189" s="2" t="s">
        <v>529</v>
      </c>
      <c r="V189" s="4" t="s">
        <v>530</v>
      </c>
      <c r="W189" s="1"/>
      <c r="X189" s="1"/>
      <c r="Y189" s="1"/>
      <c r="Z189" s="1"/>
    </row>
    <row r="190" ht="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7"/>
      <c r="S190" s="1"/>
      <c r="T190" s="2" t="s">
        <v>531</v>
      </c>
      <c r="U190" s="5" t="s">
        <v>532</v>
      </c>
      <c r="V190" s="4" t="s">
        <v>533</v>
      </c>
      <c r="W190" s="1"/>
      <c r="X190" s="1"/>
      <c r="Y190" s="1"/>
      <c r="Z190" s="1"/>
    </row>
    <row r="191" ht="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7"/>
      <c r="S191" s="1"/>
      <c r="T191" s="5" t="s">
        <v>534</v>
      </c>
      <c r="U191" s="12"/>
      <c r="V191" s="1"/>
      <c r="W191" s="1"/>
      <c r="X191" s="1"/>
      <c r="Y191" s="1"/>
      <c r="Z191" s="1"/>
    </row>
    <row r="192" ht="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7"/>
      <c r="S192" s="9"/>
      <c r="T192" s="1"/>
      <c r="U192" s="13" t="s">
        <v>535</v>
      </c>
      <c r="V192" s="4" t="s">
        <v>536</v>
      </c>
      <c r="W192" s="1"/>
      <c r="X192" s="1"/>
      <c r="Y192" s="1"/>
      <c r="Z192" s="1"/>
    </row>
    <row r="193" ht="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3" t="s">
        <v>537</v>
      </c>
      <c r="S193" s="8"/>
      <c r="T193" s="7"/>
      <c r="U193" s="15" t="s">
        <v>538</v>
      </c>
      <c r="V193" s="4" t="s">
        <v>539</v>
      </c>
      <c r="W193" s="1"/>
      <c r="X193" s="1"/>
      <c r="Y193" s="1"/>
      <c r="Z193" s="1"/>
    </row>
    <row r="194" ht="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5" t="s">
        <v>540</v>
      </c>
      <c r="S194" s="11"/>
      <c r="T194" s="7"/>
      <c r="U194" s="1"/>
      <c r="V194" s="1"/>
      <c r="W194" s="1"/>
      <c r="X194" s="1"/>
      <c r="Y194" s="1"/>
      <c r="Z194" s="1"/>
    </row>
    <row r="195" ht="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7"/>
      <c r="U195" s="2" t="s">
        <v>541</v>
      </c>
      <c r="V195" s="4" t="s">
        <v>542</v>
      </c>
      <c r="W195" s="1"/>
      <c r="X195" s="1"/>
      <c r="Y195" s="1"/>
      <c r="Z195" s="1"/>
    </row>
    <row r="196" ht="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7"/>
      <c r="U196" s="5" t="s">
        <v>543</v>
      </c>
      <c r="V196" s="4" t="s">
        <v>544</v>
      </c>
      <c r="W196" s="1"/>
      <c r="X196" s="1"/>
      <c r="Y196" s="1"/>
      <c r="Z196" s="1"/>
    </row>
    <row r="197" ht="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3" t="s">
        <v>545</v>
      </c>
      <c r="U197" s="12"/>
      <c r="V197" s="1"/>
      <c r="W197" s="1"/>
      <c r="X197" s="1"/>
      <c r="Y197" s="1"/>
      <c r="Z197" s="1"/>
    </row>
    <row r="198" ht="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5" t="s">
        <v>546</v>
      </c>
      <c r="U198" s="13" t="s">
        <v>547</v>
      </c>
      <c r="V198" s="4" t="s">
        <v>548</v>
      </c>
      <c r="W198" s="1"/>
      <c r="X198" s="1"/>
      <c r="Y198" s="1"/>
      <c r="Z198" s="1"/>
    </row>
    <row r="199" ht="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5" t="s">
        <v>549</v>
      </c>
      <c r="V199" s="4" t="s">
        <v>550</v>
      </c>
      <c r="W199" s="1"/>
      <c r="X199" s="1"/>
      <c r="Y199" s="1"/>
      <c r="Z199" s="1"/>
    </row>
    <row r="200" ht="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5">
    <mergeCell ref="J59:K59"/>
    <mergeCell ref="L60:M60"/>
    <mergeCell ref="L61:M61"/>
    <mergeCell ref="F62:G62"/>
    <mergeCell ref="F63:G63"/>
    <mergeCell ref="D38:E38"/>
    <mergeCell ref="D39:E39"/>
    <mergeCell ref="H55:I55"/>
    <mergeCell ref="L55:M55"/>
    <mergeCell ref="H56:I56"/>
    <mergeCell ref="L56:M56"/>
    <mergeCell ref="J58:K58"/>
    <mergeCell ref="H8:I8"/>
    <mergeCell ref="L8:M8"/>
    <mergeCell ref="H9:I9"/>
    <mergeCell ref="L9:M9"/>
    <mergeCell ref="J10:K10"/>
    <mergeCell ref="N10:O10"/>
    <mergeCell ref="J11:K11"/>
    <mergeCell ref="N11:O11"/>
    <mergeCell ref="L12:M12"/>
    <mergeCell ref="P12:Q12"/>
    <mergeCell ref="L13:M13"/>
    <mergeCell ref="P13:Q13"/>
    <mergeCell ref="F14:G14"/>
    <mergeCell ref="R14:S14"/>
    <mergeCell ref="F15:G15"/>
    <mergeCell ref="N15:O15"/>
    <mergeCell ref="R15:S15"/>
    <mergeCell ref="N16:O16"/>
    <mergeCell ref="P20:Q20"/>
    <mergeCell ref="H21:I21"/>
    <mergeCell ref="H22:I22"/>
    <mergeCell ref="P21:Q21"/>
    <mergeCell ref="R26:S26"/>
    <mergeCell ref="R27:S27"/>
    <mergeCell ref="L31:M31"/>
    <mergeCell ref="L32:M32"/>
    <mergeCell ref="J33:K33"/>
    <mergeCell ref="J34:K34"/>
    <mergeCell ref="N33:O33"/>
    <mergeCell ref="L35:M35"/>
    <mergeCell ref="P35:Q35"/>
    <mergeCell ref="L36:M36"/>
    <mergeCell ref="P36:Q36"/>
    <mergeCell ref="R37:S37"/>
    <mergeCell ref="R38:S38"/>
    <mergeCell ref="N34:O34"/>
    <mergeCell ref="N38:O38"/>
    <mergeCell ref="N39:O39"/>
    <mergeCell ref="P42:Q42"/>
    <mergeCell ref="P43:Q43"/>
    <mergeCell ref="R49:S49"/>
    <mergeCell ref="R50:S50"/>
    <mergeCell ref="L79:M79"/>
    <mergeCell ref="L80:M80"/>
    <mergeCell ref="N81:O81"/>
    <mergeCell ref="J82:K82"/>
    <mergeCell ref="N82:O82"/>
    <mergeCell ref="N57:O57"/>
    <mergeCell ref="N58:O58"/>
    <mergeCell ref="P59:Q59"/>
    <mergeCell ref="P60:Q60"/>
    <mergeCell ref="R61:S61"/>
    <mergeCell ref="R62:S62"/>
    <mergeCell ref="N63:O63"/>
    <mergeCell ref="N64:O64"/>
    <mergeCell ref="P67:Q67"/>
    <mergeCell ref="P68:Q68"/>
    <mergeCell ref="H69:I69"/>
    <mergeCell ref="H70:I70"/>
    <mergeCell ref="R73:S73"/>
    <mergeCell ref="R74:S74"/>
    <mergeCell ref="R85:S85"/>
    <mergeCell ref="R86:S86"/>
    <mergeCell ref="R97:S97"/>
    <mergeCell ref="R98:S98"/>
    <mergeCell ref="P84:Q84"/>
    <mergeCell ref="P91:Q91"/>
    <mergeCell ref="P92:Q92"/>
    <mergeCell ref="B83:B84"/>
    <mergeCell ref="J83:K83"/>
    <mergeCell ref="P83:Q83"/>
    <mergeCell ref="L84:M84"/>
    <mergeCell ref="B85:B88"/>
    <mergeCell ref="L85:M85"/>
    <mergeCell ref="B89:B90"/>
    <mergeCell ref="J105:K105"/>
    <mergeCell ref="J106:K106"/>
    <mergeCell ref="F109:G109"/>
    <mergeCell ref="F110:G110"/>
    <mergeCell ref="N87:O87"/>
    <mergeCell ref="N88:O88"/>
    <mergeCell ref="H103:I103"/>
    <mergeCell ref="L103:M103"/>
    <mergeCell ref="H104:I104"/>
    <mergeCell ref="L104:M104"/>
    <mergeCell ref="N105:O105"/>
    <mergeCell ref="L152:M152"/>
    <mergeCell ref="N153:O153"/>
    <mergeCell ref="L155:M155"/>
    <mergeCell ref="P155:Q155"/>
    <mergeCell ref="L156:M156"/>
    <mergeCell ref="P156:Q156"/>
    <mergeCell ref="R157:S157"/>
    <mergeCell ref="R158:S158"/>
    <mergeCell ref="N154:O154"/>
    <mergeCell ref="N158:O158"/>
    <mergeCell ref="N159:O159"/>
    <mergeCell ref="P163:Q163"/>
    <mergeCell ref="P164:Q164"/>
    <mergeCell ref="R169:S169"/>
    <mergeCell ref="R170:S170"/>
    <mergeCell ref="L175:M175"/>
    <mergeCell ref="L176:M176"/>
    <mergeCell ref="J177:K177"/>
    <mergeCell ref="N177:O177"/>
    <mergeCell ref="J178:K178"/>
    <mergeCell ref="N178:O178"/>
    <mergeCell ref="P179:Q179"/>
    <mergeCell ref="P180:Q180"/>
    <mergeCell ref="L179:M179"/>
    <mergeCell ref="L180:M180"/>
    <mergeCell ref="R181:S181"/>
    <mergeCell ref="N182:O182"/>
    <mergeCell ref="N183:O183"/>
    <mergeCell ref="P186:Q186"/>
    <mergeCell ref="P187:Q187"/>
    <mergeCell ref="N106:O106"/>
    <mergeCell ref="L107:M107"/>
    <mergeCell ref="P107:Q107"/>
    <mergeCell ref="L108:M108"/>
    <mergeCell ref="P108:Q108"/>
    <mergeCell ref="R109:S109"/>
    <mergeCell ref="R110:S110"/>
    <mergeCell ref="N110:O110"/>
    <mergeCell ref="N111:O111"/>
    <mergeCell ref="P114:Q114"/>
    <mergeCell ref="P115:Q115"/>
    <mergeCell ref="H116:I116"/>
    <mergeCell ref="H117:I117"/>
    <mergeCell ref="R121:S121"/>
    <mergeCell ref="R122:S122"/>
    <mergeCell ref="L127:M127"/>
    <mergeCell ref="L128:M128"/>
    <mergeCell ref="J129:K129"/>
    <mergeCell ref="N129:O129"/>
    <mergeCell ref="J130:K130"/>
    <mergeCell ref="N130:O130"/>
    <mergeCell ref="L131:M131"/>
    <mergeCell ref="P131:Q131"/>
    <mergeCell ref="D132:E132"/>
    <mergeCell ref="L132:M132"/>
    <mergeCell ref="P132:Q132"/>
    <mergeCell ref="D133:E133"/>
    <mergeCell ref="N134:O134"/>
    <mergeCell ref="N135:O135"/>
    <mergeCell ref="H151:I151"/>
    <mergeCell ref="H152:I152"/>
    <mergeCell ref="J153:K153"/>
    <mergeCell ref="J154:K154"/>
    <mergeCell ref="F157:G157"/>
    <mergeCell ref="F158:G158"/>
    <mergeCell ref="H164:I164"/>
    <mergeCell ref="H165:I165"/>
    <mergeCell ref="R133:S133"/>
    <mergeCell ref="R134:S134"/>
    <mergeCell ref="P138:Q138"/>
    <mergeCell ref="P139:Q139"/>
    <mergeCell ref="R145:S145"/>
    <mergeCell ref="R146:S146"/>
    <mergeCell ref="L151:M151"/>
    <mergeCell ref="R182:S182"/>
    <mergeCell ref="R193:S193"/>
    <mergeCell ref="R194:S19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  <col customWidth="1" min="19" max="19" width="8.11"/>
    <col customWidth="1" min="20" max="20" width="12.22"/>
    <col customWidth="1" min="21" max="21" width="15.22"/>
    <col customWidth="1" min="22" max="22" width="5.0"/>
    <col customWidth="1" min="23" max="26" width="6.78"/>
  </cols>
  <sheetData>
    <row r="1" ht="6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ht="6.75" customHeight="1">
      <c r="A2" s="26"/>
      <c r="B2" s="26"/>
      <c r="C2" s="26"/>
      <c r="D2" s="26"/>
      <c r="E2" s="26"/>
      <c r="F2" s="26"/>
      <c r="G2" s="26"/>
      <c r="H2" s="27" t="s">
        <v>551</v>
      </c>
      <c r="I2" s="3"/>
      <c r="J2" s="28" t="s">
        <v>1</v>
      </c>
      <c r="K2" s="26"/>
      <c r="L2" s="27" t="s">
        <v>552</v>
      </c>
      <c r="M2" s="3"/>
      <c r="N2" s="28" t="s">
        <v>3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ht="6.75" customHeight="1">
      <c r="A3" s="26"/>
      <c r="B3" s="26"/>
      <c r="C3" s="26"/>
      <c r="D3" s="26"/>
      <c r="E3" s="26"/>
      <c r="F3" s="26"/>
      <c r="G3" s="26"/>
      <c r="H3" s="29" t="str">
        <f>"R003="&amp;TEXT(ROUND('防禦合併'!J4,3),"0.0%")&amp;" ~ "&amp;TEXT(ROUND('防禦合併'!K4,3),"0.0%")</f>
        <v>R003=75.2% ~ 83.2%</v>
      </c>
      <c r="I3" s="11"/>
      <c r="J3" s="28" t="str">
        <f>"P(01)="&amp;'IN-案件機率總表'!B2</f>
        <v>P(01)=35.75%</v>
      </c>
      <c r="K3" s="26"/>
      <c r="L3" s="29" t="str">
        <f>"R006="&amp;TEXT(ROUND('防禦合併'!J7,3),"0.0%")&amp;" ~ "&amp;TEXT(ROUND('防禦合併'!K7,3),"0.0%")</f>
        <v>R006=61.1% ~ 67.5%</v>
      </c>
      <c r="M3" s="6"/>
      <c r="N3" s="28" t="str">
        <f>"P(02)="&amp;'IN-案件機率總表'!B3</f>
        <v>P(02)=1.570%</v>
      </c>
      <c r="O3" s="26"/>
      <c r="P3" s="26"/>
      <c r="Q3" s="26"/>
      <c r="R3" s="26"/>
      <c r="S3" s="26"/>
      <c r="T3" s="26"/>
      <c r="U3" s="27" t="s">
        <v>553</v>
      </c>
      <c r="V3" s="28" t="s">
        <v>9</v>
      </c>
      <c r="W3" s="26"/>
      <c r="X3" s="26"/>
      <c r="Y3" s="26"/>
      <c r="Z3" s="26"/>
    </row>
    <row r="4" ht="6.75" customHeight="1">
      <c r="A4" s="26"/>
      <c r="B4" s="26"/>
      <c r="C4" s="26"/>
      <c r="D4" s="26"/>
      <c r="E4" s="26"/>
      <c r="F4" s="26"/>
      <c r="G4" s="26"/>
      <c r="H4" s="30"/>
      <c r="I4" s="26"/>
      <c r="J4" s="27" t="s">
        <v>554</v>
      </c>
      <c r="K4" s="8"/>
      <c r="L4" s="30"/>
      <c r="M4" s="26"/>
      <c r="N4" s="27" t="s">
        <v>555</v>
      </c>
      <c r="O4" s="3"/>
      <c r="P4" s="28" t="s">
        <v>12</v>
      </c>
      <c r="Q4" s="26"/>
      <c r="R4" s="26"/>
      <c r="S4" s="26"/>
      <c r="T4" s="26"/>
      <c r="U4" s="29" t="str">
        <f>"R014="&amp;TEXT(ROUND('防禦合併'!J15,3),"0.0%")&amp;" ~ "&amp;TEXT(ROUND('防禦合併'!K15,3),"0.0%")</f>
        <v>R014=56.6% ~ 62.6%</v>
      </c>
      <c r="V4" s="28" t="str">
        <f>"P(05)="&amp;'IN-案件機率總表'!B6</f>
        <v>P(05)=0.011%</v>
      </c>
      <c r="W4" s="26"/>
      <c r="X4" s="26"/>
      <c r="Y4" s="26"/>
      <c r="Z4" s="26"/>
    </row>
    <row r="5" ht="6.75" customHeight="1">
      <c r="A5" s="26"/>
      <c r="B5" s="26"/>
      <c r="C5" s="26"/>
      <c r="D5" s="26"/>
      <c r="E5" s="26"/>
      <c r="F5" s="26"/>
      <c r="G5" s="26"/>
      <c r="H5" s="30"/>
      <c r="I5" s="31"/>
      <c r="J5" s="32" t="str">
        <f>"R005="&amp;TEXT(ROUND('防禦合併'!J6,3),"0.0%")&amp;" ~ "&amp;TEXT(ROUND('防禦合併'!K6,3),"0.0%")</f>
        <v>R005=25.0% ~ 27.6%</v>
      </c>
      <c r="K5" s="11"/>
      <c r="L5" s="30"/>
      <c r="M5" s="26"/>
      <c r="N5" s="29" t="str">
        <f>"R008="&amp;TEXT(ROUND('防禦合併'!J9,3),"0.0%")&amp;" ~ "&amp;TEXT(ROUND('防禦合併'!K9,3),"0.0%")</f>
        <v>R008=70.0% ~ 77.3%</v>
      </c>
      <c r="O5" s="6"/>
      <c r="P5" s="28" t="str">
        <f>"P(03)="&amp;'IN-案件機率總表'!B4</f>
        <v>P(03)=0.647%</v>
      </c>
      <c r="Q5" s="26"/>
      <c r="R5" s="26"/>
      <c r="S5" s="26"/>
      <c r="T5" s="27" t="s">
        <v>556</v>
      </c>
      <c r="U5" s="33"/>
      <c r="V5" s="26"/>
      <c r="W5" s="26"/>
      <c r="X5" s="26"/>
      <c r="Y5" s="26"/>
      <c r="Z5" s="26"/>
    </row>
    <row r="6" ht="6.75" customHeight="1">
      <c r="A6" s="26"/>
      <c r="B6" s="26"/>
      <c r="C6" s="26"/>
      <c r="D6" s="26"/>
      <c r="E6" s="26"/>
      <c r="F6" s="26"/>
      <c r="G6" s="26"/>
      <c r="H6" s="30"/>
      <c r="I6" s="31"/>
      <c r="J6" s="26"/>
      <c r="K6" s="26"/>
      <c r="L6" s="34" t="s">
        <v>557</v>
      </c>
      <c r="M6" s="8"/>
      <c r="N6" s="30"/>
      <c r="O6" s="26"/>
      <c r="P6" s="27" t="s">
        <v>558</v>
      </c>
      <c r="Q6" s="3"/>
      <c r="R6" s="28" t="s">
        <v>21</v>
      </c>
      <c r="S6" s="26"/>
      <c r="T6" s="29" t="str">
        <f>"R013="&amp;TEXT(ROUND('防禦合併'!J14,3),"0.0%")&amp;" ~ "&amp;TEXT(ROUND('防禦合併'!K14,3),"0.0%")</f>
        <v>R013=63.2% ~ 69.9%</v>
      </c>
      <c r="U6" s="34" t="s">
        <v>559</v>
      </c>
      <c r="V6" s="28" t="s">
        <v>24</v>
      </c>
      <c r="W6" s="26"/>
      <c r="X6" s="26"/>
      <c r="Y6" s="26"/>
      <c r="Z6" s="26"/>
    </row>
    <row r="7" ht="6.75" customHeight="1">
      <c r="A7" s="26"/>
      <c r="B7" s="26"/>
      <c r="C7" s="26"/>
      <c r="D7" s="26"/>
      <c r="E7" s="26"/>
      <c r="F7" s="35"/>
      <c r="G7" s="26"/>
      <c r="H7" s="30"/>
      <c r="I7" s="31"/>
      <c r="J7" s="26"/>
      <c r="K7" s="26"/>
      <c r="L7" s="36" t="str">
        <f>"R007="&amp;TEXT(ROUND('防禦合併'!J8,3),"0.0%")&amp;" ~ "&amp;TEXT(ROUND('防禦合併'!K8,3),"0.0%")</f>
        <v>R007=32.5% ~ 38.9%</v>
      </c>
      <c r="M7" s="11"/>
      <c r="N7" s="30"/>
      <c r="O7" s="26"/>
      <c r="P7" s="29" t="str">
        <f>"R010="&amp;TEXT(ROUND('防禦合併'!J11,3),"0.0%")&amp;" ~ "&amp;TEXT(ROUND('防禦合併'!K11,3),"0.0%")</f>
        <v>R010=73.1% ~ 80.8%</v>
      </c>
      <c r="Q7" s="6"/>
      <c r="R7" s="28" t="str">
        <f>"P(04)="&amp;'IN-案件機率總表'!B5</f>
        <v>P(04)=0.178%</v>
      </c>
      <c r="S7" s="26"/>
      <c r="T7" s="30"/>
      <c r="U7" s="36" t="str">
        <f>"R015="&amp;TEXT(ROUND('防禦合併'!J16,3),"0.0%")&amp;" ~ "&amp;TEXT(ROUND('防禦合併'!K16,3),"0.0%")</f>
        <v>R015=37.4% ~ 43.4%</v>
      </c>
      <c r="V7" s="28" t="str">
        <f>"P(06)="&amp;'IN-案件機率總表'!B7</f>
        <v>P(06)=0.007%</v>
      </c>
      <c r="W7" s="26"/>
      <c r="X7" s="26"/>
      <c r="Y7" s="26"/>
      <c r="Z7" s="26"/>
    </row>
    <row r="8" ht="6.75" customHeight="1">
      <c r="A8" s="26"/>
      <c r="B8" s="26"/>
      <c r="C8" s="26"/>
      <c r="D8" s="26"/>
      <c r="E8" s="26"/>
      <c r="F8" s="27" t="s">
        <v>560</v>
      </c>
      <c r="G8" s="8"/>
      <c r="H8" s="30"/>
      <c r="I8" s="31"/>
      <c r="J8" s="26"/>
      <c r="K8" s="26"/>
      <c r="L8" s="26"/>
      <c r="M8" s="26"/>
      <c r="N8" s="30"/>
      <c r="O8" s="26"/>
      <c r="P8" s="30"/>
      <c r="Q8" s="26"/>
      <c r="R8" s="27" t="s">
        <v>561</v>
      </c>
      <c r="S8" s="8"/>
      <c r="T8" s="30"/>
      <c r="U8" s="26"/>
      <c r="V8" s="26"/>
      <c r="W8" s="26"/>
      <c r="X8" s="26"/>
      <c r="Y8" s="26"/>
      <c r="Z8" s="26"/>
    </row>
    <row r="9" ht="6.75" customHeight="1">
      <c r="A9" s="26"/>
      <c r="B9" s="26"/>
      <c r="C9" s="26"/>
      <c r="D9" s="26"/>
      <c r="E9" s="26"/>
      <c r="F9" s="29" t="str">
        <f>"R002="&amp;TEXT(ROUND('防禦合併'!J3,3),"0.0%")&amp;" ~ "&amp;TEXT(ROUND('防禦合併'!K3,3),"0.0%")</f>
        <v>R002=68.1% ~ 75.2%</v>
      </c>
      <c r="G9" s="11"/>
      <c r="H9" s="30"/>
      <c r="I9" s="31"/>
      <c r="J9" s="35"/>
      <c r="K9" s="26"/>
      <c r="L9" s="26"/>
      <c r="M9" s="26"/>
      <c r="N9" s="34" t="s">
        <v>562</v>
      </c>
      <c r="O9" s="8"/>
      <c r="P9" s="30"/>
      <c r="Q9" s="26"/>
      <c r="R9" s="29" t="str">
        <f>"R012="&amp;TEXT(ROUND('防禦合併'!J13,3),"0.0%")&amp;" ~ "&amp;TEXT(ROUND('防禦合併'!K13,3),"0.0%")</f>
        <v>R012=49.2% ~ 54.4%</v>
      </c>
      <c r="S9" s="11"/>
      <c r="T9" s="30"/>
      <c r="U9" s="27" t="s">
        <v>563</v>
      </c>
      <c r="V9" s="28" t="s">
        <v>36</v>
      </c>
      <c r="W9" s="26"/>
      <c r="X9" s="26"/>
      <c r="Y9" s="26"/>
      <c r="Z9" s="26"/>
    </row>
    <row r="10" ht="6.75" customHeight="1">
      <c r="A10" s="26"/>
      <c r="B10" s="26"/>
      <c r="C10" s="26"/>
      <c r="D10" s="26"/>
      <c r="E10" s="26"/>
      <c r="F10" s="30"/>
      <c r="G10" s="31"/>
      <c r="H10" s="30"/>
      <c r="I10" s="31"/>
      <c r="J10" s="37"/>
      <c r="K10" s="26"/>
      <c r="L10" s="26"/>
      <c r="M10" s="26"/>
      <c r="N10" s="36" t="str">
        <f>"R009="&amp;TEXT(ROUND('防禦合併'!J10,3),"0.0%")&amp;" ~ "&amp;TEXT(ROUND('防禦合併'!K10,3),"0.0%")</f>
        <v>R009=22.7% ~ 30.0%</v>
      </c>
      <c r="O10" s="11"/>
      <c r="P10" s="30"/>
      <c r="Q10" s="26"/>
      <c r="R10" s="30"/>
      <c r="S10" s="26"/>
      <c r="T10" s="30"/>
      <c r="U10" s="29" t="str">
        <f>"R017="&amp;TEXT(ROUND('防禦合併'!J18,3),"0.0%")&amp;" ~ "&amp;TEXT(ROUND('防禦合併'!K18,3),"0.0%")</f>
        <v>R017=45.3% ~ 50.1%</v>
      </c>
      <c r="V10" s="28" t="str">
        <f>"P(07)="&amp;'IN-案件機率總表'!B8</f>
        <v>P(07)=0.004%</v>
      </c>
      <c r="W10" s="26"/>
      <c r="X10" s="26"/>
      <c r="Y10" s="26"/>
      <c r="Z10" s="26"/>
    </row>
    <row r="11" ht="6.75" customHeight="1">
      <c r="A11" s="26"/>
      <c r="B11" s="26"/>
      <c r="C11" s="26"/>
      <c r="D11" s="26"/>
      <c r="E11" s="26"/>
      <c r="F11" s="30"/>
      <c r="G11" s="26"/>
      <c r="H11" s="30"/>
      <c r="I11" s="31"/>
      <c r="J11" s="26"/>
      <c r="K11" s="26"/>
      <c r="L11" s="26"/>
      <c r="M11" s="26"/>
      <c r="N11" s="26"/>
      <c r="O11" s="26"/>
      <c r="P11" s="30"/>
      <c r="Q11" s="26"/>
      <c r="R11" s="30"/>
      <c r="S11" s="26"/>
      <c r="T11" s="34" t="s">
        <v>564</v>
      </c>
      <c r="U11" s="33"/>
      <c r="V11" s="26"/>
      <c r="W11" s="26"/>
      <c r="X11" s="26"/>
      <c r="Y11" s="26"/>
      <c r="Z11" s="26"/>
    </row>
    <row r="12" ht="6.75" customHeight="1">
      <c r="A12" s="26"/>
      <c r="B12" s="26"/>
      <c r="C12" s="26"/>
      <c r="D12" s="26"/>
      <c r="E12" s="26"/>
      <c r="F12" s="30"/>
      <c r="G12" s="26"/>
      <c r="H12" s="30"/>
      <c r="I12" s="31"/>
      <c r="J12" s="26"/>
      <c r="K12" s="26"/>
      <c r="L12" s="26"/>
      <c r="M12" s="26"/>
      <c r="N12" s="26"/>
      <c r="O12" s="26"/>
      <c r="P12" s="30"/>
      <c r="Q12" s="26"/>
      <c r="R12" s="30"/>
      <c r="S12" s="26"/>
      <c r="T12" s="36" t="str">
        <f>"R016="&amp;TEXT(ROUND('防禦合併'!J17,3),"0.0%")&amp;" ~ "&amp;TEXT(ROUND('防禦合併'!K17,3),"0.0%")</f>
        <v>R016=30.1% ~ 36.8%</v>
      </c>
      <c r="U12" s="34" t="s">
        <v>565</v>
      </c>
      <c r="V12" s="28" t="s">
        <v>43</v>
      </c>
      <c r="W12" s="26"/>
      <c r="X12" s="26"/>
      <c r="Y12" s="26"/>
      <c r="Z12" s="26"/>
    </row>
    <row r="13" ht="6.75" customHeight="1">
      <c r="A13" s="26"/>
      <c r="B13" s="26"/>
      <c r="C13" s="26"/>
      <c r="D13" s="26"/>
      <c r="E13" s="26"/>
      <c r="F13" s="38"/>
      <c r="G13" s="26"/>
      <c r="H13" s="30"/>
      <c r="I13" s="31"/>
      <c r="J13" s="26"/>
      <c r="K13" s="26"/>
      <c r="L13" s="26"/>
      <c r="M13" s="26"/>
      <c r="N13" s="26"/>
      <c r="O13" s="31"/>
      <c r="P13" s="26"/>
      <c r="Q13" s="26"/>
      <c r="R13" s="30"/>
      <c r="S13" s="26"/>
      <c r="T13" s="26"/>
      <c r="U13" s="36" t="str">
        <f>"R018="&amp;TEXT(ROUND('防禦合併'!J19,3),"0.0%")&amp;" ~ "&amp;TEXT(ROUND('防禦合併'!K19,3),"0.0%")</f>
        <v>R018=49.9% ~ 54.7%</v>
      </c>
      <c r="V13" s="28" t="str">
        <f>"P(08)="&amp;'IN-案件機率總表'!B9</f>
        <v>P(08)=0.005%</v>
      </c>
      <c r="W13" s="26"/>
      <c r="X13" s="26"/>
      <c r="Y13" s="26"/>
      <c r="Z13" s="26"/>
    </row>
    <row r="14" ht="6.75" customHeight="1">
      <c r="A14" s="26"/>
      <c r="B14" s="26"/>
      <c r="C14" s="26"/>
      <c r="D14" s="26"/>
      <c r="E14" s="26"/>
      <c r="F14" s="38"/>
      <c r="G14" s="26"/>
      <c r="H14" s="30"/>
      <c r="I14" s="31"/>
      <c r="J14" s="26"/>
      <c r="K14" s="26"/>
      <c r="L14" s="26"/>
      <c r="M14" s="26"/>
      <c r="N14" s="26"/>
      <c r="O14" s="26"/>
      <c r="P14" s="34" t="s">
        <v>566</v>
      </c>
      <c r="Q14" s="8"/>
      <c r="R14" s="30"/>
      <c r="S14" s="26"/>
      <c r="T14" s="26"/>
      <c r="U14" s="26"/>
      <c r="V14" s="26"/>
      <c r="W14" s="26"/>
      <c r="X14" s="26"/>
      <c r="Y14" s="26"/>
      <c r="Z14" s="26"/>
    </row>
    <row r="15" ht="6.75" customHeight="1">
      <c r="A15" s="26"/>
      <c r="B15" s="26"/>
      <c r="C15" s="26"/>
      <c r="D15" s="26"/>
      <c r="E15" s="26"/>
      <c r="F15" s="30"/>
      <c r="G15" s="26"/>
      <c r="H15" s="34" t="s">
        <v>567</v>
      </c>
      <c r="I15" s="8"/>
      <c r="J15" s="26"/>
      <c r="K15" s="26"/>
      <c r="L15" s="26"/>
      <c r="M15" s="26"/>
      <c r="N15" s="26"/>
      <c r="O15" s="26"/>
      <c r="P15" s="36" t="str">
        <f>"R011="&amp;TEXT(ROUND('防禦合併'!J12,3),"0.0%")&amp;" ~ "&amp;TEXT(ROUND('防禦合併'!K12,3),"0.0%")</f>
        <v>R011=19.2% ~ 26.9%</v>
      </c>
      <c r="Q15" s="11"/>
      <c r="R15" s="30"/>
      <c r="S15" s="26"/>
      <c r="T15" s="26"/>
      <c r="U15" s="27" t="s">
        <v>568</v>
      </c>
      <c r="V15" s="28" t="s">
        <v>50</v>
      </c>
      <c r="W15" s="26"/>
      <c r="X15" s="26"/>
      <c r="Y15" s="26"/>
      <c r="Z15" s="26"/>
    </row>
    <row r="16" ht="6.75" customHeight="1">
      <c r="A16" s="26"/>
      <c r="B16" s="26"/>
      <c r="C16" s="26"/>
      <c r="D16" s="26"/>
      <c r="E16" s="26"/>
      <c r="F16" s="30"/>
      <c r="G16" s="26"/>
      <c r="H16" s="36" t="str">
        <f>"R004="&amp;TEXT(ROUND('防禦合併'!J5,3),"0.0%")&amp;" ~ "&amp;TEXT(ROUND('防禦合併'!K5,3),"0.0%")</f>
        <v>R004=16.8% ~ 24.8%</v>
      </c>
      <c r="I16" s="11"/>
      <c r="J16" s="26"/>
      <c r="K16" s="26"/>
      <c r="L16" s="26"/>
      <c r="M16" s="26"/>
      <c r="N16" s="26"/>
      <c r="O16" s="26"/>
      <c r="P16" s="26"/>
      <c r="Q16" s="26"/>
      <c r="R16" s="30"/>
      <c r="S16" s="26"/>
      <c r="T16" s="26"/>
      <c r="U16" s="29" t="str">
        <f>"R021="&amp;TEXT(ROUND('防禦合併'!J22,3),"0.0%")&amp;" ~ "&amp;TEXT(ROUND('防禦合併'!K22,3),"0.0%")</f>
        <v>R021=56.6% ~ 62.6%</v>
      </c>
      <c r="V16" s="28" t="str">
        <f>"P(09)="&amp;'IN-案件機率總表'!B10</f>
        <v>P(09)=0.009%</v>
      </c>
      <c r="W16" s="26"/>
      <c r="X16" s="26"/>
      <c r="Y16" s="26"/>
      <c r="Z16" s="26"/>
    </row>
    <row r="17" ht="6.75" customHeight="1">
      <c r="A17" s="26"/>
      <c r="B17" s="26"/>
      <c r="C17" s="26"/>
      <c r="D17" s="26"/>
      <c r="E17" s="26"/>
      <c r="F17" s="30"/>
      <c r="G17" s="26"/>
      <c r="H17" s="26"/>
      <c r="I17" s="31"/>
      <c r="J17" s="26"/>
      <c r="K17" s="26"/>
      <c r="L17" s="26"/>
      <c r="M17" s="26"/>
      <c r="N17" s="26"/>
      <c r="O17" s="26"/>
      <c r="P17" s="26"/>
      <c r="Q17" s="26"/>
      <c r="R17" s="30"/>
      <c r="S17" s="26"/>
      <c r="T17" s="27" t="s">
        <v>569</v>
      </c>
      <c r="U17" s="33"/>
      <c r="V17" s="26"/>
      <c r="W17" s="26"/>
      <c r="X17" s="26"/>
      <c r="Y17" s="26"/>
      <c r="Z17" s="26"/>
    </row>
    <row r="18" ht="6.75" customHeight="1">
      <c r="A18" s="26"/>
      <c r="B18" s="26"/>
      <c r="C18" s="26"/>
      <c r="D18" s="26"/>
      <c r="E18" s="26"/>
      <c r="F18" s="30"/>
      <c r="G18" s="26"/>
      <c r="H18" s="26"/>
      <c r="I18" s="31"/>
      <c r="J18" s="26"/>
      <c r="K18" s="26"/>
      <c r="L18" s="26"/>
      <c r="M18" s="26"/>
      <c r="N18" s="26"/>
      <c r="O18" s="26"/>
      <c r="P18" s="26"/>
      <c r="Q18" s="26"/>
      <c r="R18" s="30"/>
      <c r="S18" s="26"/>
      <c r="T18" s="29" t="str">
        <f>"R020="&amp;TEXT(ROUND('防禦合併'!J21,3),"0.0%")&amp;" ~ "&amp;TEXT(ROUND('防禦合併'!K21,3),"0.0%")</f>
        <v>R020=53.7% ~ 59.4%</v>
      </c>
      <c r="U18" s="34" t="s">
        <v>570</v>
      </c>
      <c r="V18" s="28" t="s">
        <v>57</v>
      </c>
      <c r="W18" s="26"/>
      <c r="X18" s="26"/>
      <c r="Y18" s="26"/>
      <c r="Z18" s="26"/>
    </row>
    <row r="19" ht="6.75" customHeight="1">
      <c r="A19" s="26"/>
      <c r="B19" s="26"/>
      <c r="C19" s="26"/>
      <c r="D19" s="26"/>
      <c r="E19" s="26"/>
      <c r="F19" s="30"/>
      <c r="G19" s="26"/>
      <c r="H19" s="26"/>
      <c r="I19" s="31"/>
      <c r="J19" s="26"/>
      <c r="K19" s="26"/>
      <c r="L19" s="26"/>
      <c r="M19" s="26"/>
      <c r="N19" s="26"/>
      <c r="O19" s="26"/>
      <c r="P19" s="26"/>
      <c r="Q19" s="31"/>
      <c r="R19" s="26"/>
      <c r="S19" s="26"/>
      <c r="T19" s="30"/>
      <c r="U19" s="36" t="str">
        <f>"R022="&amp;TEXT(ROUND('防禦合併'!J23,3),"0.0%")&amp;" ~ "&amp;TEXT(ROUND('防禦合併'!K23,3),"0.0%")</f>
        <v>R022=37.4% ~ 43.4%</v>
      </c>
      <c r="V19" s="28" t="str">
        <f>"P(10)="&amp;'IN-案件機率總表'!B11</f>
        <v>P(10)=0.006%</v>
      </c>
      <c r="W19" s="26"/>
      <c r="X19" s="26"/>
      <c r="Y19" s="26"/>
      <c r="Z19" s="26"/>
    </row>
    <row r="20" ht="6.75" customHeight="1">
      <c r="A20" s="26"/>
      <c r="B20" s="26"/>
      <c r="C20" s="26"/>
      <c r="D20" s="26"/>
      <c r="E20" s="26"/>
      <c r="F20" s="30"/>
      <c r="G20" s="26"/>
      <c r="H20" s="26"/>
      <c r="I20" s="31"/>
      <c r="J20" s="26"/>
      <c r="K20" s="26"/>
      <c r="L20" s="26"/>
      <c r="M20" s="26"/>
      <c r="N20" s="26"/>
      <c r="O20" s="26"/>
      <c r="P20" s="26"/>
      <c r="Q20" s="26"/>
      <c r="R20" s="34" t="s">
        <v>571</v>
      </c>
      <c r="S20" s="8"/>
      <c r="T20" s="30"/>
      <c r="U20" s="26"/>
      <c r="V20" s="26"/>
      <c r="W20" s="26"/>
      <c r="X20" s="26"/>
      <c r="Y20" s="26"/>
      <c r="Z20" s="26"/>
    </row>
    <row r="21" ht="6.75" customHeight="1">
      <c r="A21" s="26"/>
      <c r="B21" s="26"/>
      <c r="C21" s="26"/>
      <c r="D21" s="26"/>
      <c r="E21" s="26"/>
      <c r="F21" s="30"/>
      <c r="G21" s="26"/>
      <c r="H21" s="26"/>
      <c r="I21" s="31"/>
      <c r="J21" s="26"/>
      <c r="K21" s="26"/>
      <c r="L21" s="26"/>
      <c r="M21" s="26"/>
      <c r="N21" s="26"/>
      <c r="O21" s="26"/>
      <c r="P21" s="26"/>
      <c r="Q21" s="26"/>
      <c r="R21" s="36" t="str">
        <f>"R019="&amp;TEXT(ROUND('防禦合併'!J20,3),"0.0%")&amp;" ~ "&amp;TEXT(ROUND('防禦合併'!K20,3),"0.0%")</f>
        <v>R019=45.6% ~ 50.8%</v>
      </c>
      <c r="S21" s="11"/>
      <c r="T21" s="30"/>
      <c r="U21" s="27" t="s">
        <v>572</v>
      </c>
      <c r="V21" s="28" t="s">
        <v>63</v>
      </c>
      <c r="W21" s="26"/>
      <c r="X21" s="26"/>
      <c r="Y21" s="26"/>
      <c r="Z21" s="26"/>
    </row>
    <row r="22" ht="6.75" customHeight="1">
      <c r="A22" s="26"/>
      <c r="B22" s="26"/>
      <c r="C22" s="26"/>
      <c r="D22" s="26"/>
      <c r="E22" s="26"/>
      <c r="F22" s="30"/>
      <c r="G22" s="26"/>
      <c r="H22" s="26"/>
      <c r="I22" s="31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0"/>
      <c r="U22" s="29" t="str">
        <f>"R024="&amp;TEXT(ROUND('防禦合併'!J25,3),"0.0%")&amp;" ~ "&amp;TEXT(ROUND('防禦合併'!K25,3),"0.0%")</f>
        <v>R024=45.3% ~ 50.1%</v>
      </c>
      <c r="V22" s="28" t="str">
        <f>"P(11)="&amp;'IN-案件機率總表'!B12</f>
        <v>P(11)=0.005%</v>
      </c>
      <c r="W22" s="26"/>
      <c r="X22" s="26"/>
      <c r="Y22" s="26"/>
      <c r="Z22" s="26"/>
    </row>
    <row r="23" ht="6.75" customHeight="1">
      <c r="A23" s="26"/>
      <c r="B23" s="26"/>
      <c r="C23" s="26"/>
      <c r="D23" s="26"/>
      <c r="E23" s="26"/>
      <c r="F23" s="30"/>
      <c r="G23" s="26"/>
      <c r="H23" s="26"/>
      <c r="I23" s="31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4" t="s">
        <v>573</v>
      </c>
      <c r="U23" s="33"/>
      <c r="V23" s="26"/>
      <c r="W23" s="26"/>
      <c r="X23" s="26"/>
      <c r="Y23" s="26"/>
      <c r="Z23" s="26"/>
    </row>
    <row r="24" ht="6.75" customHeight="1">
      <c r="A24" s="26"/>
      <c r="B24" s="26"/>
      <c r="C24" s="26"/>
      <c r="D24" s="26"/>
      <c r="E24" s="26"/>
      <c r="F24" s="30"/>
      <c r="G24" s="26"/>
      <c r="H24" s="26"/>
      <c r="I24" s="31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6" t="str">
        <f>"R023="&amp;TEXT(ROUND('防禦合併'!J24,3),"0.0%")&amp;" ~ "&amp;TEXT(ROUND('防禦合併'!K24,3),"0.0%")</f>
        <v>R023=40.6% ~ 46.3%</v>
      </c>
      <c r="U24" s="34" t="s">
        <v>574</v>
      </c>
      <c r="V24" s="28" t="s">
        <v>69</v>
      </c>
      <c r="W24" s="26"/>
      <c r="X24" s="26"/>
      <c r="Y24" s="26"/>
      <c r="Z24" s="26"/>
    </row>
    <row r="25" ht="6.75" customHeight="1">
      <c r="A25" s="26"/>
      <c r="B25" s="26"/>
      <c r="C25" s="26"/>
      <c r="D25" s="26"/>
      <c r="E25" s="26"/>
      <c r="F25" s="30"/>
      <c r="G25" s="26"/>
      <c r="H25" s="26"/>
      <c r="I25" s="31"/>
      <c r="J25" s="26"/>
      <c r="K25" s="26"/>
      <c r="L25" s="27" t="s">
        <v>575</v>
      </c>
      <c r="M25" s="3"/>
      <c r="N25" s="28" t="s">
        <v>71</v>
      </c>
      <c r="O25" s="26"/>
      <c r="P25" s="26"/>
      <c r="Q25" s="26"/>
      <c r="R25" s="26"/>
      <c r="S25" s="26"/>
      <c r="T25" s="26"/>
      <c r="U25" s="36" t="str">
        <f>"R025="&amp;TEXT(ROUND('防禦合併'!J26,3),"0.0%")&amp;" ~ "&amp;TEXT(ROUND('防禦合併'!K26,3),"0.0%")</f>
        <v>R025=49.9% ~ 54.7%</v>
      </c>
      <c r="V25" s="28" t="str">
        <f>"P(12)="&amp;'IN-案件機率總表'!B13</f>
        <v>P(12)=0.006%</v>
      </c>
      <c r="W25" s="26"/>
      <c r="X25" s="26"/>
      <c r="Y25" s="26"/>
      <c r="Z25" s="26"/>
    </row>
    <row r="26" ht="6.75" customHeight="1">
      <c r="A26" s="26"/>
      <c r="B26" s="26"/>
      <c r="C26" s="26"/>
      <c r="D26" s="26"/>
      <c r="E26" s="26"/>
      <c r="F26" s="30"/>
      <c r="G26" s="26"/>
      <c r="H26" s="26"/>
      <c r="I26" s="31"/>
      <c r="J26" s="26"/>
      <c r="K26" s="26"/>
      <c r="L26" s="29" t="str">
        <f>"R027="&amp;TEXT(ROUND('防禦合併'!J28,3),"0.0%")&amp;" ~ "&amp;TEXT(ROUND('防禦合併'!K28,3),"0.0%")</f>
        <v>R027=61.1% ~ 67.5%</v>
      </c>
      <c r="M26" s="6"/>
      <c r="N26" s="28" t="str">
        <f>"P(13)="&amp;'IN-案件機率總表'!B14</f>
        <v>P(13)=4.418%</v>
      </c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ht="6.75" customHeight="1">
      <c r="A27" s="26"/>
      <c r="B27" s="26"/>
      <c r="C27" s="26"/>
      <c r="D27" s="26"/>
      <c r="E27" s="26"/>
      <c r="F27" s="30"/>
      <c r="G27" s="26"/>
      <c r="H27" s="26"/>
      <c r="I27" s="31"/>
      <c r="J27" s="39" t="s">
        <v>576</v>
      </c>
      <c r="K27" s="8"/>
      <c r="L27" s="30"/>
      <c r="M27" s="26"/>
      <c r="N27" s="27" t="s">
        <v>577</v>
      </c>
      <c r="O27" s="3"/>
      <c r="P27" s="28" t="s">
        <v>78</v>
      </c>
      <c r="Q27" s="26"/>
      <c r="R27" s="26"/>
      <c r="S27" s="26"/>
      <c r="T27" s="26"/>
      <c r="U27" s="27" t="s">
        <v>578</v>
      </c>
      <c r="V27" s="28" t="s">
        <v>80</v>
      </c>
      <c r="W27" s="26"/>
      <c r="X27" s="26"/>
      <c r="Y27" s="26"/>
      <c r="Z27" s="26"/>
    </row>
    <row r="28" ht="6.75" customHeight="1">
      <c r="A28" s="26"/>
      <c r="B28" s="26"/>
      <c r="C28" s="26"/>
      <c r="D28" s="26"/>
      <c r="E28" s="26"/>
      <c r="F28" s="30"/>
      <c r="G28" s="26"/>
      <c r="H28" s="26"/>
      <c r="I28" s="26"/>
      <c r="J28" s="36" t="str">
        <f>"R026="&amp;TEXT(ROUND('防禦合併'!J27,3),"0.0%")&amp;" ~ "&amp;TEXT(ROUND('防禦合併'!K27,3),"0.0%")</f>
        <v>R026=72.4% ~ 75.0%</v>
      </c>
      <c r="K28" s="11"/>
      <c r="L28" s="30"/>
      <c r="M28" s="26"/>
      <c r="N28" s="29" t="str">
        <f>"R029="&amp;TEXT(ROUND('防禦合併'!J30,3),"0.0%")&amp;" ~ "&amp;TEXT(ROUND('防禦合併'!K30,3),"0.0%")</f>
        <v>R029=70.0% ~ 77.3%</v>
      </c>
      <c r="O28" s="6"/>
      <c r="P28" s="28" t="str">
        <f>"P(14)="&amp;'IN-案件機率總表'!B15</f>
        <v>P(14)=1.784%</v>
      </c>
      <c r="Q28" s="26"/>
      <c r="R28" s="26"/>
      <c r="S28" s="26"/>
      <c r="T28" s="27" t="s">
        <v>579</v>
      </c>
      <c r="U28" s="29" t="str">
        <f>"R035="&amp;TEXT(ROUND('防禦合併'!J36,3),"0.0%")&amp;" ~ "&amp;TEXT(ROUND('防禦合併'!K36,3),"0.0%")</f>
        <v>R035=56.6% ~ 62.6%</v>
      </c>
      <c r="V28" s="28" t="str">
        <f>"P(16)="&amp;'IN-案件機率總表'!B17</f>
        <v>P(16)=0.015%</v>
      </c>
      <c r="W28" s="26"/>
      <c r="X28" s="26"/>
      <c r="Y28" s="26"/>
      <c r="Z28" s="26"/>
    </row>
    <row r="29" ht="6.75" customHeight="1">
      <c r="A29" s="26"/>
      <c r="B29" s="26"/>
      <c r="C29" s="26"/>
      <c r="D29" s="26"/>
      <c r="E29" s="26"/>
      <c r="F29" s="30"/>
      <c r="G29" s="26"/>
      <c r="H29" s="26"/>
      <c r="I29" s="26"/>
      <c r="J29" s="26"/>
      <c r="K29" s="26"/>
      <c r="L29" s="34" t="s">
        <v>580</v>
      </c>
      <c r="M29" s="8"/>
      <c r="N29" s="30"/>
      <c r="O29" s="26"/>
      <c r="P29" s="27" t="s">
        <v>581</v>
      </c>
      <c r="Q29" s="3"/>
      <c r="R29" s="28" t="s">
        <v>89</v>
      </c>
      <c r="S29" s="26"/>
      <c r="T29" s="29" t="str">
        <f>"R034="&amp;TEXT(ROUND('防禦合併'!J35,3),"0.0%")&amp;" ~ "&amp;TEXT(ROUND('防禦合併'!K35,3),"0.0%")</f>
        <v>R034=63.2% ~ 69.9%</v>
      </c>
      <c r="U29" s="33"/>
      <c r="V29" s="26"/>
      <c r="W29" s="26"/>
      <c r="X29" s="26"/>
      <c r="Y29" s="26"/>
      <c r="Z29" s="26"/>
    </row>
    <row r="30" ht="6.75" customHeight="1">
      <c r="A30" s="26"/>
      <c r="B30" s="26"/>
      <c r="C30" s="26"/>
      <c r="D30" s="26"/>
      <c r="E30" s="26"/>
      <c r="F30" s="30"/>
      <c r="G30" s="26"/>
      <c r="H30" s="26"/>
      <c r="I30" s="26"/>
      <c r="J30" s="26"/>
      <c r="K30" s="26"/>
      <c r="L30" s="36" t="str">
        <f>"R028="&amp;TEXT(ROUND('防禦合併'!J29,3),"0.0%")&amp;" ~ "&amp;TEXT(ROUND('防禦合併'!K29,3),"0.0%")</f>
        <v>R028=32.5% ~ 38.9%</v>
      </c>
      <c r="M30" s="11"/>
      <c r="N30" s="30"/>
      <c r="O30" s="26"/>
      <c r="P30" s="29" t="str">
        <f>"R031="&amp;TEXT(ROUND('防禦合併'!J32,3),"0.0%")&amp;" ~ "&amp;TEXT(ROUND('防禦合併'!K32,3),"0.0%")</f>
        <v>R031=73.1% ~ 80.8%</v>
      </c>
      <c r="Q30" s="6"/>
      <c r="R30" s="28" t="str">
        <f>"P(15)="&amp;'IN-案件機率總表'!B16</f>
        <v>P(15)=0.484%</v>
      </c>
      <c r="S30" s="26"/>
      <c r="T30" s="30"/>
      <c r="U30" s="34" t="s">
        <v>582</v>
      </c>
      <c r="V30" s="28" t="s">
        <v>95</v>
      </c>
      <c r="W30" s="26"/>
      <c r="X30" s="26"/>
      <c r="Y30" s="26"/>
      <c r="Z30" s="26"/>
    </row>
    <row r="31" ht="6.75" customHeight="1">
      <c r="A31" s="26"/>
      <c r="B31" s="26"/>
      <c r="C31" s="26"/>
      <c r="D31" s="26"/>
      <c r="E31" s="26"/>
      <c r="F31" s="30"/>
      <c r="G31" s="26"/>
      <c r="H31" s="26"/>
      <c r="I31" s="26"/>
      <c r="J31" s="26"/>
      <c r="K31" s="26"/>
      <c r="L31" s="26"/>
      <c r="M31" s="26"/>
      <c r="N31" s="30"/>
      <c r="O31" s="26"/>
      <c r="P31" s="30"/>
      <c r="Q31" s="26"/>
      <c r="R31" s="27" t="s">
        <v>583</v>
      </c>
      <c r="S31" s="8"/>
      <c r="T31" s="30"/>
      <c r="U31" s="36" t="str">
        <f>"R036="&amp;TEXT(ROUND('防禦合併'!J37,3),"0.0%")&amp;" ~ "&amp;TEXT(ROUND('防禦合併'!K37,3),"0.0%")</f>
        <v>R036=37.4% ~ 43.4%</v>
      </c>
      <c r="V31" s="28" t="str">
        <f>"P(17)="&amp;'IN-案件機率總表'!B18</f>
        <v>P(17)=0.010%</v>
      </c>
      <c r="W31" s="26"/>
      <c r="X31" s="26"/>
      <c r="Y31" s="26"/>
      <c r="Z31" s="26"/>
    </row>
    <row r="32" ht="6.75" customHeight="1">
      <c r="A32" s="26"/>
      <c r="B32" s="26"/>
      <c r="C32" s="26"/>
      <c r="D32" s="27" t="s">
        <v>584</v>
      </c>
      <c r="E32" s="8"/>
      <c r="F32" s="30"/>
      <c r="G32" s="26"/>
      <c r="H32" s="26"/>
      <c r="I32" s="26"/>
      <c r="J32" s="26"/>
      <c r="K32" s="26"/>
      <c r="L32" s="26"/>
      <c r="M32" s="26"/>
      <c r="N32" s="34" t="s">
        <v>585</v>
      </c>
      <c r="O32" s="8"/>
      <c r="P32" s="30"/>
      <c r="Q32" s="26"/>
      <c r="R32" s="29" t="str">
        <f>"R033="&amp;TEXT(ROUND('防禦合併'!J34,3),"0.0%")&amp;" ~ "&amp;TEXT(ROUND('防禦合併'!K34,3),"0.0%")</f>
        <v>R033=24.6% ~ 27.2%</v>
      </c>
      <c r="S32" s="11"/>
      <c r="T32" s="30"/>
      <c r="U32" s="26"/>
      <c r="V32" s="26"/>
      <c r="W32" s="26"/>
      <c r="X32" s="26"/>
      <c r="Y32" s="26"/>
      <c r="Z32" s="26"/>
    </row>
    <row r="33" ht="6.75" customHeight="1">
      <c r="A33" s="26"/>
      <c r="B33" s="26"/>
      <c r="C33" s="26"/>
      <c r="D33" s="29" t="str">
        <f>"R001="&amp;TEXT(ROUND('防禦合併'!J2,3),"0.0%")&amp;" ~ "&amp;TEXT(ROUND('防禦合併'!K2,3),"0.0%")</f>
        <v>R001=59.9% ~ 66.2%</v>
      </c>
      <c r="E33" s="11"/>
      <c r="F33" s="30"/>
      <c r="G33" s="26"/>
      <c r="H33" s="26"/>
      <c r="I33" s="26"/>
      <c r="J33" s="26"/>
      <c r="K33" s="26"/>
      <c r="L33" s="26"/>
      <c r="M33" s="26"/>
      <c r="N33" s="36" t="str">
        <f>"R030="&amp;TEXT(ROUND('防禦合併'!J31,3),"0.0%")&amp;" ~ "&amp;TEXT(ROUND('防禦合併'!K31,3),"0.0%")</f>
        <v>R030=22.7% ~ 30.0%</v>
      </c>
      <c r="O33" s="11"/>
      <c r="P33" s="30"/>
      <c r="Q33" s="26"/>
      <c r="R33" s="30"/>
      <c r="S33" s="26"/>
      <c r="T33" s="30"/>
      <c r="U33" s="27" t="s">
        <v>586</v>
      </c>
      <c r="V33" s="28" t="s">
        <v>105</v>
      </c>
      <c r="W33" s="26"/>
      <c r="X33" s="26"/>
      <c r="Y33" s="26"/>
      <c r="Z33" s="26"/>
    </row>
    <row r="34" ht="6.75" customHeight="1">
      <c r="A34" s="26"/>
      <c r="B34" s="26"/>
      <c r="C34" s="26"/>
      <c r="D34" s="30"/>
      <c r="E34" s="26"/>
      <c r="F34" s="30"/>
      <c r="G34" s="26"/>
      <c r="H34" s="26"/>
      <c r="I34" s="26"/>
      <c r="J34" s="26"/>
      <c r="K34" s="26"/>
      <c r="L34" s="26"/>
      <c r="M34" s="26"/>
      <c r="N34" s="26"/>
      <c r="O34" s="26"/>
      <c r="P34" s="30"/>
      <c r="Q34" s="26"/>
      <c r="R34" s="30"/>
      <c r="S34" s="26"/>
      <c r="T34" s="30"/>
      <c r="U34" s="29" t="str">
        <f>"R038="&amp;TEXT(ROUND('防禦合併'!J39,3),"0.0%")&amp;" ~ "&amp;TEXT(ROUND('防禦合併'!K39,3),"0.0%")</f>
        <v>R038=45.3% ~ 50.1%</v>
      </c>
      <c r="V34" s="28" t="str">
        <f>"P(18)="&amp;'IN-案件機率總表'!B19</f>
        <v>P(18)=0.006%</v>
      </c>
      <c r="W34" s="26"/>
      <c r="X34" s="26"/>
      <c r="Y34" s="26"/>
      <c r="Z34" s="26"/>
    </row>
    <row r="35" ht="6.75" customHeight="1">
      <c r="A35" s="26"/>
      <c r="B35" s="26"/>
      <c r="C35" s="26"/>
      <c r="D35" s="30"/>
      <c r="E35" s="26"/>
      <c r="F35" s="30"/>
      <c r="G35" s="26"/>
      <c r="H35" s="26"/>
      <c r="I35" s="26"/>
      <c r="J35" s="26"/>
      <c r="K35" s="26"/>
      <c r="L35" s="26"/>
      <c r="M35" s="26"/>
      <c r="N35" s="26"/>
      <c r="O35" s="26"/>
      <c r="P35" s="30"/>
      <c r="Q35" s="26"/>
      <c r="R35" s="30"/>
      <c r="S35" s="26"/>
      <c r="T35" s="34" t="s">
        <v>587</v>
      </c>
      <c r="U35" s="33"/>
      <c r="V35" s="26"/>
      <c r="W35" s="26"/>
      <c r="X35" s="26"/>
      <c r="Y35" s="26"/>
      <c r="Z35" s="26"/>
    </row>
    <row r="36" ht="6.75" customHeight="1">
      <c r="A36" s="26"/>
      <c r="B36" s="26"/>
      <c r="C36" s="26"/>
      <c r="D36" s="30"/>
      <c r="E36" s="26"/>
      <c r="F36" s="30"/>
      <c r="G36" s="26"/>
      <c r="H36" s="26"/>
      <c r="I36" s="26"/>
      <c r="J36" s="26"/>
      <c r="K36" s="26"/>
      <c r="L36" s="26"/>
      <c r="M36" s="26"/>
      <c r="N36" s="26"/>
      <c r="O36" s="26"/>
      <c r="P36" s="34" t="s">
        <v>588</v>
      </c>
      <c r="Q36" s="8"/>
      <c r="R36" s="30"/>
      <c r="S36" s="26"/>
      <c r="T36" s="36" t="str">
        <f>"R037="&amp;TEXT(ROUND('防禦合併'!J38,3),"0.0%")&amp;" ~ "&amp;TEXT(ROUND('防禦合併'!K38,3),"0.0%")</f>
        <v>R037=30.1% ~ 36.8%</v>
      </c>
      <c r="U36" s="34" t="s">
        <v>589</v>
      </c>
      <c r="V36" s="28" t="s">
        <v>112</v>
      </c>
      <c r="W36" s="26"/>
      <c r="X36" s="26"/>
      <c r="Y36" s="26"/>
      <c r="Z36" s="26"/>
    </row>
    <row r="37" ht="6.75" customHeight="1">
      <c r="A37" s="26"/>
      <c r="B37" s="26"/>
      <c r="C37" s="26"/>
      <c r="D37" s="38"/>
      <c r="E37" s="26"/>
      <c r="F37" s="30"/>
      <c r="G37" s="26"/>
      <c r="H37" s="26"/>
      <c r="I37" s="26"/>
      <c r="J37" s="26"/>
      <c r="K37" s="26"/>
      <c r="L37" s="26"/>
      <c r="M37" s="26"/>
      <c r="N37" s="26"/>
      <c r="O37" s="26"/>
      <c r="P37" s="36" t="str">
        <f>"R032="&amp;TEXT(ROUND('防禦合併'!J33,3),"0.0%")&amp;" ~ "&amp;TEXT(ROUND('防禦合併'!K33,3),"0.0%")</f>
        <v>R032=19.2% ~ 26.9%</v>
      </c>
      <c r="Q37" s="11"/>
      <c r="R37" s="30"/>
      <c r="S37" s="26"/>
      <c r="T37" s="26"/>
      <c r="U37" s="36" t="str">
        <f>"R039="&amp;TEXT(ROUND('防禦合併'!J40,3),"0.0%")&amp;" ~ "&amp;TEXT(ROUND('防禦合併'!K40,3),"0.0%")</f>
        <v>R039=49.9% ~ 54.7%</v>
      </c>
      <c r="V37" s="28" t="str">
        <f>"P(19)="&amp;'IN-案件機率總表'!B20</f>
        <v>P(19)=0.007%</v>
      </c>
      <c r="W37" s="26"/>
      <c r="X37" s="26"/>
      <c r="Y37" s="26"/>
      <c r="Z37" s="26"/>
    </row>
    <row r="38" ht="6.75" customHeight="1">
      <c r="A38" s="26"/>
      <c r="B38" s="26"/>
      <c r="C38" s="26"/>
      <c r="D38" s="38"/>
      <c r="E38" s="26"/>
      <c r="F38" s="30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30"/>
      <c r="S38" s="26"/>
      <c r="T38" s="26"/>
      <c r="U38" s="26"/>
      <c r="V38" s="26"/>
      <c r="W38" s="26"/>
      <c r="X38" s="26"/>
      <c r="Y38" s="26"/>
      <c r="Z38" s="26"/>
    </row>
    <row r="39" ht="6.75" customHeight="1">
      <c r="A39" s="26"/>
      <c r="B39" s="26"/>
      <c r="C39" s="26"/>
      <c r="D39" s="30"/>
      <c r="E39" s="26"/>
      <c r="F39" s="30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30"/>
      <c r="S39" s="26"/>
      <c r="T39" s="26"/>
      <c r="U39" s="27" t="s">
        <v>590</v>
      </c>
      <c r="V39" s="28" t="s">
        <v>117</v>
      </c>
      <c r="W39" s="26"/>
      <c r="X39" s="26"/>
      <c r="Y39" s="26"/>
      <c r="Z39" s="26"/>
    </row>
    <row r="40" ht="6.75" customHeight="1">
      <c r="A40" s="26"/>
      <c r="B40" s="26"/>
      <c r="C40" s="26"/>
      <c r="D40" s="30"/>
      <c r="E40" s="26"/>
      <c r="F40" s="30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30"/>
      <c r="S40" s="26"/>
      <c r="T40" s="27" t="s">
        <v>591</v>
      </c>
      <c r="U40" s="29" t="str">
        <f>"R042="&amp;TEXT(ROUND('防禦合併'!J43,3),"0.0%")&amp;" ~ "&amp;TEXT(ROUND('防禦合併'!K43,3),"0.0%")</f>
        <v>R042=56.6% ~ 62.6%</v>
      </c>
      <c r="V40" s="28" t="str">
        <f>"P(20)="&amp;'IN-案件機率總表'!B21</f>
        <v>P(20)=0.036%</v>
      </c>
      <c r="W40" s="26"/>
      <c r="X40" s="26"/>
      <c r="Y40" s="26"/>
      <c r="Z40" s="26"/>
    </row>
    <row r="41" ht="6.75" customHeight="1">
      <c r="A41" s="26"/>
      <c r="B41" s="26"/>
      <c r="C41" s="26"/>
      <c r="D41" s="30"/>
      <c r="E41" s="26"/>
      <c r="F41" s="30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30"/>
      <c r="S41" s="26"/>
      <c r="T41" s="29" t="str">
        <f>"R041="&amp;TEXT(ROUND('防禦合併'!J42,3),"0.0%")&amp;" ~ "&amp;TEXT(ROUND('防禦合併'!K42,3),"0.0%")</f>
        <v>R041=53.7% ~ 59.4%</v>
      </c>
      <c r="U41" s="33"/>
      <c r="V41" s="26"/>
      <c r="W41" s="26"/>
      <c r="X41" s="26"/>
      <c r="Y41" s="26"/>
      <c r="Z41" s="26"/>
    </row>
    <row r="42" ht="6.75" customHeight="1">
      <c r="A42" s="26"/>
      <c r="B42" s="26"/>
      <c r="C42" s="26"/>
      <c r="D42" s="30"/>
      <c r="E42" s="26"/>
      <c r="F42" s="30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31"/>
      <c r="R42" s="26"/>
      <c r="S42" s="31"/>
      <c r="T42" s="26"/>
      <c r="U42" s="34" t="s">
        <v>592</v>
      </c>
      <c r="V42" s="28" t="s">
        <v>123</v>
      </c>
      <c r="W42" s="26"/>
      <c r="X42" s="26"/>
      <c r="Y42" s="26"/>
      <c r="Z42" s="26"/>
    </row>
    <row r="43" ht="6.75" customHeight="1">
      <c r="A43" s="26"/>
      <c r="B43" s="26"/>
      <c r="C43" s="26"/>
      <c r="D43" s="30"/>
      <c r="E43" s="26"/>
      <c r="F43" s="30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34" t="s">
        <v>593</v>
      </c>
      <c r="S43" s="8"/>
      <c r="T43" s="30"/>
      <c r="U43" s="36" t="str">
        <f>"R043="&amp;TEXT(ROUND('防禦合併'!J44,3),"0.0%")&amp;" ~ "&amp;TEXT(ROUND('防禦合併'!K44,3),"0.0%")</f>
        <v>R043=37.4% ~ 43.4%</v>
      </c>
      <c r="V43" s="28" t="str">
        <f>"P(21)="&amp;'IN-案件機率總表'!B22</f>
        <v>P(21)=0.025%</v>
      </c>
      <c r="W43" s="26"/>
      <c r="X43" s="26"/>
      <c r="Y43" s="26"/>
      <c r="Z43" s="26"/>
    </row>
    <row r="44" ht="6.75" customHeight="1">
      <c r="A44" s="26"/>
      <c r="B44" s="26"/>
      <c r="C44" s="26"/>
      <c r="D44" s="30"/>
      <c r="E44" s="26"/>
      <c r="F44" s="30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36" t="str">
        <f>"R040="&amp;TEXT(ROUND('防禦合併'!J41,3),"0.0%")&amp;" ~ "&amp;TEXT(ROUND('防禦合併'!K41,3),"0.0%")</f>
        <v>R040=72.8% ~ 75.4%</v>
      </c>
      <c r="S44" s="11"/>
      <c r="T44" s="30"/>
      <c r="U44" s="26"/>
      <c r="V44" s="26"/>
      <c r="W44" s="26"/>
      <c r="X44" s="26"/>
      <c r="Y44" s="26"/>
      <c r="Z44" s="26"/>
    </row>
    <row r="45" ht="6.75" customHeight="1">
      <c r="A45" s="26"/>
      <c r="B45" s="26"/>
      <c r="C45" s="26"/>
      <c r="D45" s="30"/>
      <c r="E45" s="26"/>
      <c r="F45" s="30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30"/>
      <c r="U45" s="27" t="s">
        <v>594</v>
      </c>
      <c r="V45" s="28" t="s">
        <v>129</v>
      </c>
      <c r="W45" s="26"/>
      <c r="X45" s="26"/>
      <c r="Y45" s="26"/>
      <c r="Z45" s="26"/>
    </row>
    <row r="46" ht="6.75" customHeight="1">
      <c r="A46" s="26"/>
      <c r="B46" s="26"/>
      <c r="C46" s="26"/>
      <c r="D46" s="30"/>
      <c r="E46" s="26"/>
      <c r="F46" s="30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30"/>
      <c r="U46" s="29" t="str">
        <f>"R045="&amp;TEXT(ROUND('防禦合併'!J46,3),"0.0%")&amp;" ~ "&amp;TEXT(ROUND('防禦合併'!K46,3),"0.0%")</f>
        <v>R045=45.3% ~ 50.1%</v>
      </c>
      <c r="V46" s="28" t="str">
        <f>"P(22)="&amp;'IN-案件機率總表'!B23</f>
        <v>P(22)=0.022%</v>
      </c>
      <c r="W46" s="26"/>
      <c r="X46" s="26"/>
      <c r="Y46" s="26"/>
      <c r="Z46" s="26"/>
    </row>
    <row r="47" ht="6.75" customHeight="1">
      <c r="A47" s="26"/>
      <c r="B47" s="26"/>
      <c r="C47" s="26"/>
      <c r="D47" s="30"/>
      <c r="E47" s="26"/>
      <c r="F47" s="30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34" t="s">
        <v>595</v>
      </c>
      <c r="U47" s="33"/>
      <c r="V47" s="26"/>
      <c r="W47" s="26"/>
      <c r="X47" s="26"/>
      <c r="Y47" s="26"/>
      <c r="Z47" s="26"/>
    </row>
    <row r="48" ht="6.75" customHeight="1">
      <c r="A48" s="26"/>
      <c r="B48" s="26"/>
      <c r="C48" s="26"/>
      <c r="D48" s="30"/>
      <c r="E48" s="26"/>
      <c r="F48" s="30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36" t="str">
        <f>"R044="&amp;TEXT(ROUND('防禦合併'!J45,3),"0.0%")&amp;" ~ "&amp;TEXT(ROUND('防禦合併'!K45,3),"0.0%")</f>
        <v>R044=40.6% ~ 46.3%</v>
      </c>
      <c r="U48" s="34" t="s">
        <v>596</v>
      </c>
      <c r="V48" s="28" t="s">
        <v>135</v>
      </c>
      <c r="W48" s="26"/>
      <c r="X48" s="26"/>
      <c r="Y48" s="26"/>
      <c r="Z48" s="26"/>
    </row>
    <row r="49" ht="6.75" customHeight="1">
      <c r="A49" s="26"/>
      <c r="B49" s="26"/>
      <c r="C49" s="26"/>
      <c r="D49" s="30"/>
      <c r="E49" s="26"/>
      <c r="F49" s="30"/>
      <c r="G49" s="26"/>
      <c r="H49" s="27" t="s">
        <v>597</v>
      </c>
      <c r="I49" s="3"/>
      <c r="J49" s="28" t="s">
        <v>137</v>
      </c>
      <c r="K49" s="26"/>
      <c r="L49" s="27" t="s">
        <v>598</v>
      </c>
      <c r="M49" s="3"/>
      <c r="N49" s="28" t="s">
        <v>139</v>
      </c>
      <c r="O49" s="26"/>
      <c r="P49" s="26"/>
      <c r="Q49" s="26"/>
      <c r="R49" s="26"/>
      <c r="S49" s="26"/>
      <c r="T49" s="26"/>
      <c r="U49" s="36" t="str">
        <f>"R046="&amp;TEXT(ROUND('防禦合併'!J47,3),"0.0%")&amp;" ~ "&amp;TEXT(ROUND('防禦合併'!K47,3),"0.0%")</f>
        <v>R046=49.9% ~ 54.7%</v>
      </c>
      <c r="V49" s="28" t="str">
        <f>"P(23)="&amp;'IN-案件機率總表'!B24</f>
        <v>P(23)=0.024%</v>
      </c>
      <c r="W49" s="26"/>
      <c r="X49" s="26"/>
      <c r="Y49" s="26"/>
      <c r="Z49" s="26"/>
    </row>
    <row r="50" ht="6.75" customHeight="1">
      <c r="A50" s="26"/>
      <c r="B50" s="26"/>
      <c r="C50" s="26"/>
      <c r="D50" s="30"/>
      <c r="E50" s="26"/>
      <c r="F50" s="30"/>
      <c r="G50" s="26"/>
      <c r="H50" s="29" t="str">
        <f>"R048="&amp;TEXT(ROUND('防禦合併'!J49,3),"0.0%")&amp;" ~ "&amp;TEXT(ROUND('防禦合併'!K49,3),"0.0%")</f>
        <v>R048=22.6% ~ 24.9%</v>
      </c>
      <c r="I50" s="6"/>
      <c r="J50" s="28" t="str">
        <f>"P(24)="&amp;'IN-案件機率總表'!B25</f>
        <v>P(24)=4.237%</v>
      </c>
      <c r="K50" s="26"/>
      <c r="L50" s="29" t="str">
        <f>"R051="&amp;TEXT(ROUND('防禦合併'!J52,3),"0.0%")&amp;" ~ "&amp;TEXT(ROUND('防禦合併'!K52,3),"0.0%")</f>
        <v>R051=61.1% ~ 67.5%</v>
      </c>
      <c r="M50" s="6"/>
      <c r="N50" s="28" t="str">
        <f>"P(25)="&amp;'IN-案件機率總表'!B26</f>
        <v>P(25)=1.815%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6.75" customHeight="1">
      <c r="A51" s="26"/>
      <c r="B51" s="26"/>
      <c r="C51" s="26"/>
      <c r="D51" s="30"/>
      <c r="E51" s="26"/>
      <c r="F51" s="30"/>
      <c r="G51" s="26"/>
      <c r="H51" s="30"/>
      <c r="I51" s="26"/>
      <c r="J51" s="35"/>
      <c r="K51" s="26"/>
      <c r="L51" s="30"/>
      <c r="M51" s="26"/>
      <c r="N51" s="27" t="s">
        <v>599</v>
      </c>
      <c r="O51" s="3"/>
      <c r="P51" s="28" t="s">
        <v>147</v>
      </c>
      <c r="Q51" s="26"/>
      <c r="R51" s="26"/>
      <c r="S51" s="26"/>
      <c r="T51" s="26"/>
      <c r="U51" s="27" t="s">
        <v>600</v>
      </c>
      <c r="V51" s="28" t="s">
        <v>149</v>
      </c>
      <c r="W51" s="26"/>
      <c r="X51" s="26"/>
      <c r="Y51" s="26"/>
      <c r="Z51" s="26"/>
    </row>
    <row r="52" ht="6.75" customHeight="1">
      <c r="A52" s="26"/>
      <c r="B52" s="26"/>
      <c r="C52" s="26"/>
      <c r="D52" s="30"/>
      <c r="E52" s="26"/>
      <c r="F52" s="30"/>
      <c r="G52" s="26"/>
      <c r="H52" s="30"/>
      <c r="I52" s="26"/>
      <c r="J52" s="27" t="s">
        <v>601</v>
      </c>
      <c r="K52" s="8"/>
      <c r="L52" s="30"/>
      <c r="M52" s="26"/>
      <c r="N52" s="29" t="str">
        <f>"R053="&amp;TEXT(ROUND('防禦合併'!J54,3),"0.0%")&amp;" ~ "&amp;TEXT(ROUND('防禦合併'!K54,3),"0.0%")</f>
        <v>R053=70.0% ~ 77.3%</v>
      </c>
      <c r="O52" s="6"/>
      <c r="P52" s="28" t="str">
        <f>"P(26)="&amp;'IN-案件機率總表'!B27</f>
        <v>P(26)=0.736%</v>
      </c>
      <c r="Q52" s="26"/>
      <c r="R52" s="26"/>
      <c r="S52" s="26"/>
      <c r="T52" s="27" t="s">
        <v>602</v>
      </c>
      <c r="U52" s="29" t="str">
        <f>"R059="&amp;TEXT(ROUND('防禦合併'!J60,3),"0.0%")&amp;" ~ "&amp;TEXT(ROUND('防禦合併'!K60,3),"0.0%")</f>
        <v>R059=56.6% ~ 62.6%</v>
      </c>
      <c r="V52" s="28" t="str">
        <f>"P(28)="&amp;'IN-案件機率總表'!B29</f>
        <v>P(28)=0.013%</v>
      </c>
      <c r="W52" s="26"/>
      <c r="X52" s="26"/>
      <c r="Y52" s="26"/>
      <c r="Z52" s="26"/>
    </row>
    <row r="53" ht="6.75" customHeight="1">
      <c r="A53" s="26"/>
      <c r="B53" s="26"/>
      <c r="C53" s="26"/>
      <c r="D53" s="30"/>
      <c r="E53" s="26"/>
      <c r="F53" s="30"/>
      <c r="G53" s="26"/>
      <c r="H53" s="30"/>
      <c r="I53" s="31"/>
      <c r="J53" s="32" t="str">
        <f>"R050="&amp;TEXT(ROUND('防禦合併'!J51,3),"0.0%")&amp;" ~ "&amp;TEXT(ROUND('防禦合併'!K51,3),"0.0%")</f>
        <v>R050=19.7% ~ 21.7%</v>
      </c>
      <c r="K53" s="11"/>
      <c r="L53" s="30"/>
      <c r="M53" s="26"/>
      <c r="N53" s="30"/>
      <c r="O53" s="26"/>
      <c r="P53" s="27" t="s">
        <v>603</v>
      </c>
      <c r="Q53" s="3"/>
      <c r="R53" s="28" t="s">
        <v>158</v>
      </c>
      <c r="S53" s="26"/>
      <c r="T53" s="29" t="str">
        <f>"R058="&amp;TEXT(ROUND('防禦合併'!J59,3),"0.0%")&amp;" ~ "&amp;TEXT(ROUND('防禦合併'!K59,3),"0.0%")</f>
        <v>R058=63.2% ~ 69.9%</v>
      </c>
      <c r="U53" s="33"/>
      <c r="V53" s="26"/>
      <c r="W53" s="26"/>
      <c r="X53" s="26"/>
      <c r="Y53" s="26"/>
      <c r="Z53" s="26"/>
    </row>
    <row r="54" ht="6.75" customHeight="1">
      <c r="A54" s="26"/>
      <c r="B54" s="26"/>
      <c r="C54" s="26"/>
      <c r="D54" s="30"/>
      <c r="E54" s="26"/>
      <c r="F54" s="30"/>
      <c r="G54" s="26"/>
      <c r="H54" s="30"/>
      <c r="I54" s="31"/>
      <c r="J54" s="26"/>
      <c r="K54" s="31"/>
      <c r="L54" s="34" t="s">
        <v>604</v>
      </c>
      <c r="M54" s="8"/>
      <c r="N54" s="30"/>
      <c r="O54" s="26"/>
      <c r="P54" s="29" t="str">
        <f>"R055="&amp;TEXT(ROUND('防禦合併'!J56,3),"0.0%")&amp;" ~ "&amp;TEXT(ROUND('防禦合併'!K56,3),"0.0%")</f>
        <v>R055=73.1% ~ 80.8%</v>
      </c>
      <c r="Q54" s="6"/>
      <c r="R54" s="28" t="str">
        <f>"P(27)="&amp;'IN-案件機率總表'!B28</f>
        <v>P(27)=0.207%</v>
      </c>
      <c r="S54" s="31"/>
      <c r="T54" s="26"/>
      <c r="U54" s="34" t="s">
        <v>605</v>
      </c>
      <c r="V54" s="28" t="s">
        <v>164</v>
      </c>
      <c r="W54" s="26"/>
      <c r="X54" s="26"/>
      <c r="Y54" s="26"/>
      <c r="Z54" s="26"/>
    </row>
    <row r="55" ht="6.75" customHeight="1">
      <c r="A55" s="26"/>
      <c r="B55" s="26"/>
      <c r="C55" s="26"/>
      <c r="D55" s="30"/>
      <c r="E55" s="26"/>
      <c r="F55" s="30"/>
      <c r="G55" s="26"/>
      <c r="H55" s="30"/>
      <c r="I55" s="31"/>
      <c r="J55" s="26"/>
      <c r="K55" s="26"/>
      <c r="L55" s="36" t="str">
        <f>"R052="&amp;TEXT(ROUND('防禦合併'!J53,3),"0.0%")&amp;" ~ "&amp;TEXT(ROUND('防禦合併'!K53,3),"0.0%")</f>
        <v>R052=32.5% ~ 38.9%</v>
      </c>
      <c r="M55" s="11"/>
      <c r="N55" s="30"/>
      <c r="O55" s="26"/>
      <c r="P55" s="30"/>
      <c r="Q55" s="26"/>
      <c r="R55" s="27" t="s">
        <v>606</v>
      </c>
      <c r="S55" s="8"/>
      <c r="T55" s="30"/>
      <c r="U55" s="36" t="str">
        <f>"R060="&amp;TEXT(ROUND('防禦合併'!J61,3),"0.0%")&amp;" ~ "&amp;TEXT(ROUND('防禦合併'!K61,3),"0.0%")</f>
        <v>R060=37.4% ~ 43.4%</v>
      </c>
      <c r="V55" s="28" t="str">
        <f>"P(29)="&amp;'IN-案件機率總表'!B30</f>
        <v>P(29)=0.009%</v>
      </c>
      <c r="W55" s="26"/>
      <c r="X55" s="26"/>
      <c r="Y55" s="26"/>
      <c r="Z55" s="26"/>
    </row>
    <row r="56" ht="6.75" customHeight="1">
      <c r="A56" s="26"/>
      <c r="B56" s="26"/>
      <c r="C56" s="26"/>
      <c r="D56" s="30"/>
      <c r="E56" s="26"/>
      <c r="F56" s="34" t="s">
        <v>607</v>
      </c>
      <c r="G56" s="8"/>
      <c r="H56" s="30"/>
      <c r="I56" s="31"/>
      <c r="J56" s="26"/>
      <c r="K56" s="26"/>
      <c r="L56" s="26"/>
      <c r="M56" s="31"/>
      <c r="N56" s="26"/>
      <c r="O56" s="31"/>
      <c r="P56" s="26"/>
      <c r="Q56" s="26"/>
      <c r="R56" s="29" t="str">
        <f>"R057="&amp;TEXT(ROUND('防禦合併'!J58,3),"0.0%")&amp;" ~ "&amp;TEXT(ROUND('防禦合併'!K58,3),"0.0%")</f>
        <v>R057=49.2% ~ 54.4%</v>
      </c>
      <c r="S56" s="11"/>
      <c r="T56" s="30"/>
      <c r="U56" s="26"/>
      <c r="V56" s="26"/>
      <c r="W56" s="26"/>
      <c r="X56" s="26"/>
      <c r="Y56" s="26"/>
      <c r="Z56" s="26"/>
    </row>
    <row r="57" ht="6.75" customHeight="1">
      <c r="A57" s="26"/>
      <c r="B57" s="26"/>
      <c r="C57" s="26"/>
      <c r="D57" s="30"/>
      <c r="E57" s="26"/>
      <c r="F57" s="36" t="str">
        <f>"R047="&amp;TEXT(ROUND('防禦合併'!J48,3),"0.0%")&amp;" ~ "&amp;TEXT(ROUND('防禦合併'!K48,3),"0.0%")</f>
        <v>R047=24.8% ~ 31.9%</v>
      </c>
      <c r="G57" s="11"/>
      <c r="H57" s="30"/>
      <c r="I57" s="31"/>
      <c r="J57" s="35"/>
      <c r="K57" s="26"/>
      <c r="L57" s="26"/>
      <c r="M57" s="26"/>
      <c r="N57" s="34" t="s">
        <v>608</v>
      </c>
      <c r="O57" s="8"/>
      <c r="P57" s="30"/>
      <c r="Q57" s="26"/>
      <c r="R57" s="30"/>
      <c r="S57" s="26"/>
      <c r="T57" s="30"/>
      <c r="U57" s="27" t="s">
        <v>609</v>
      </c>
      <c r="V57" s="28" t="s">
        <v>174</v>
      </c>
      <c r="W57" s="26"/>
      <c r="X57" s="26"/>
      <c r="Y57" s="26"/>
      <c r="Z57" s="26"/>
    </row>
    <row r="58" ht="6.75" customHeight="1">
      <c r="A58" s="26"/>
      <c r="B58" s="26"/>
      <c r="C58" s="26"/>
      <c r="D58" s="30"/>
      <c r="E58" s="26"/>
      <c r="F58" s="26"/>
      <c r="G58" s="31"/>
      <c r="H58" s="30"/>
      <c r="I58" s="31"/>
      <c r="J58" s="35"/>
      <c r="K58" s="26"/>
      <c r="L58" s="26"/>
      <c r="M58" s="26"/>
      <c r="N58" s="36" t="str">
        <f>"R054="&amp;TEXT(ROUND('防禦合併'!J55,3),"0.0%")&amp;" ~ "&amp;TEXT(ROUND('防禦合併'!K55,3),"0.0%")</f>
        <v>R054=22.7% ~ 30.0%</v>
      </c>
      <c r="O58" s="11"/>
      <c r="P58" s="30"/>
      <c r="Q58" s="26"/>
      <c r="R58" s="30"/>
      <c r="S58" s="26"/>
      <c r="T58" s="30"/>
      <c r="U58" s="29" t="str">
        <f>"R062="&amp;TEXT(ROUND('防禦合併'!J63,3),"0.0%")&amp;" ~ "&amp;TEXT(ROUND('防禦合併'!K63,3),"0.0%")</f>
        <v>R062=45.3% ~ 50.1%</v>
      </c>
      <c r="V58" s="28" t="str">
        <f>"P(30)="&amp;'IN-案件機率總表'!B31</f>
        <v>P(30)=0.005%</v>
      </c>
      <c r="W58" s="26"/>
      <c r="X58" s="26"/>
      <c r="Y58" s="26"/>
      <c r="Z58" s="26"/>
    </row>
    <row r="59" ht="6.75" customHeight="1">
      <c r="A59" s="26"/>
      <c r="B59" s="26"/>
      <c r="C59" s="26"/>
      <c r="D59" s="30"/>
      <c r="E59" s="26"/>
      <c r="F59" s="26"/>
      <c r="G59" s="26"/>
      <c r="H59" s="30"/>
      <c r="I59" s="31"/>
      <c r="J59" s="26"/>
      <c r="K59" s="26"/>
      <c r="L59" s="26"/>
      <c r="M59" s="26"/>
      <c r="N59" s="26"/>
      <c r="O59" s="26"/>
      <c r="P59" s="30"/>
      <c r="Q59" s="26"/>
      <c r="R59" s="30"/>
      <c r="S59" s="26"/>
      <c r="T59" s="34" t="s">
        <v>610</v>
      </c>
      <c r="U59" s="33"/>
      <c r="V59" s="26"/>
      <c r="W59" s="26"/>
      <c r="X59" s="26"/>
      <c r="Y59" s="26"/>
      <c r="Z59" s="26"/>
    </row>
    <row r="60" ht="6.75" customHeight="1">
      <c r="A60" s="26"/>
      <c r="B60" s="26"/>
      <c r="C60" s="26"/>
      <c r="D60" s="30"/>
      <c r="E60" s="26"/>
      <c r="F60" s="26"/>
      <c r="G60" s="26"/>
      <c r="H60" s="30"/>
      <c r="I60" s="31"/>
      <c r="J60" s="26"/>
      <c r="K60" s="26"/>
      <c r="L60" s="26"/>
      <c r="M60" s="26"/>
      <c r="N60" s="26"/>
      <c r="O60" s="31"/>
      <c r="P60" s="26"/>
      <c r="Q60" s="31"/>
      <c r="R60" s="26"/>
      <c r="S60" s="26"/>
      <c r="T60" s="36" t="str">
        <f>"R061="&amp;TEXT(ROUND('防禦合併'!J62,3),"0.0%")&amp;" ~ "&amp;TEXT(ROUND('防禦合併'!K62,3),"0.0%")</f>
        <v>R061=30.1% ~ 36.8%</v>
      </c>
      <c r="U60" s="34" t="s">
        <v>611</v>
      </c>
      <c r="V60" s="28" t="s">
        <v>181</v>
      </c>
      <c r="W60" s="26"/>
      <c r="X60" s="26"/>
      <c r="Y60" s="26"/>
      <c r="Z60" s="26"/>
    </row>
    <row r="61" ht="6.75" customHeight="1">
      <c r="A61" s="26"/>
      <c r="B61" s="26"/>
      <c r="C61" s="26"/>
      <c r="D61" s="30"/>
      <c r="E61" s="26"/>
      <c r="F61" s="26"/>
      <c r="G61" s="26"/>
      <c r="H61" s="30"/>
      <c r="I61" s="31"/>
      <c r="J61" s="26"/>
      <c r="K61" s="26"/>
      <c r="L61" s="26"/>
      <c r="M61" s="26"/>
      <c r="N61" s="26"/>
      <c r="O61" s="26"/>
      <c r="P61" s="34" t="s">
        <v>612</v>
      </c>
      <c r="Q61" s="8"/>
      <c r="R61" s="30"/>
      <c r="S61" s="26"/>
      <c r="T61" s="26"/>
      <c r="U61" s="36" t="str">
        <f>"R063="&amp;TEXT(ROUND('防禦合併'!J64,3),"0.0%")&amp;" ~ "&amp;TEXT(ROUND('防禦合併'!K64,3),"0.0%")</f>
        <v>R063=49.9% ~ 54.7%</v>
      </c>
      <c r="V61" s="28" t="str">
        <f>"P(31)="&amp;'IN-案件機率總表'!B32</f>
        <v>P(31)=0.006%</v>
      </c>
      <c r="W61" s="26"/>
      <c r="X61" s="26"/>
      <c r="Y61" s="26"/>
      <c r="Z61" s="26"/>
    </row>
    <row r="62" ht="6.75" customHeight="1">
      <c r="A62" s="26"/>
      <c r="B62" s="26"/>
      <c r="C62" s="26"/>
      <c r="D62" s="30"/>
      <c r="E62" s="26"/>
      <c r="F62" s="26"/>
      <c r="G62" s="26"/>
      <c r="H62" s="30"/>
      <c r="I62" s="31"/>
      <c r="J62" s="26"/>
      <c r="K62" s="26"/>
      <c r="L62" s="26"/>
      <c r="M62" s="26"/>
      <c r="N62" s="26"/>
      <c r="O62" s="26"/>
      <c r="P62" s="36" t="str">
        <f>"R056="&amp;TEXT(ROUND('防禦合併'!J57,3),"0.0%")&amp;" ~ "&amp;TEXT(ROUND('防禦合併'!K57,3),"0.0%")</f>
        <v>R056=19.2% ~ 26.9%</v>
      </c>
      <c r="Q62" s="11"/>
      <c r="R62" s="30"/>
      <c r="S62" s="26"/>
      <c r="T62" s="26"/>
      <c r="U62" s="26"/>
      <c r="V62" s="26"/>
      <c r="W62" s="26"/>
      <c r="X62" s="26"/>
      <c r="Y62" s="26"/>
      <c r="Z62" s="26"/>
    </row>
    <row r="63" ht="6.75" customHeight="1">
      <c r="A63" s="26"/>
      <c r="B63" s="26"/>
      <c r="C63" s="26"/>
      <c r="D63" s="30"/>
      <c r="E63" s="26"/>
      <c r="F63" s="26"/>
      <c r="G63" s="26"/>
      <c r="H63" s="34" t="s">
        <v>613</v>
      </c>
      <c r="I63" s="8"/>
      <c r="J63" s="26"/>
      <c r="K63" s="26"/>
      <c r="L63" s="26"/>
      <c r="M63" s="26"/>
      <c r="N63" s="26"/>
      <c r="O63" s="26"/>
      <c r="P63" s="26"/>
      <c r="Q63" s="26"/>
      <c r="R63" s="30"/>
      <c r="S63" s="26"/>
      <c r="T63" s="26"/>
      <c r="U63" s="27" t="s">
        <v>614</v>
      </c>
      <c r="V63" s="28" t="s">
        <v>188</v>
      </c>
      <c r="W63" s="26"/>
      <c r="X63" s="26"/>
      <c r="Y63" s="26"/>
      <c r="Z63" s="26"/>
    </row>
    <row r="64" ht="6.75" customHeight="1">
      <c r="A64" s="26"/>
      <c r="B64" s="26"/>
      <c r="C64" s="26"/>
      <c r="D64" s="30"/>
      <c r="E64" s="26"/>
      <c r="F64" s="26"/>
      <c r="G64" s="26"/>
      <c r="H64" s="36" t="str">
        <f>"R049="&amp;TEXT(ROUND('防禦合併'!J50,3),"0.0%")&amp;" ~ "&amp;TEXT(ROUND('防禦合併'!K50,3),"0.0%")</f>
        <v>R049=75.1% ~ 77.4%</v>
      </c>
      <c r="I64" s="11"/>
      <c r="J64" s="26"/>
      <c r="K64" s="26"/>
      <c r="L64" s="26"/>
      <c r="M64" s="26"/>
      <c r="N64" s="26"/>
      <c r="O64" s="26"/>
      <c r="P64" s="26"/>
      <c r="Q64" s="26"/>
      <c r="R64" s="30"/>
      <c r="S64" s="26"/>
      <c r="T64" s="27" t="s">
        <v>615</v>
      </c>
      <c r="U64" s="29" t="str">
        <f>"R066="&amp;TEXT(ROUND('防禦合併'!J67,3),"0.0%")&amp;" ~ "&amp;TEXT(ROUND('防禦合併'!K67,3),"0.0%")</f>
        <v>R066=56.6% ~ 62.6%</v>
      </c>
      <c r="V64" s="28" t="str">
        <f>"P(32)="&amp;'IN-案件機率總表'!B33</f>
        <v>P(32)=0.010%</v>
      </c>
      <c r="W64" s="26"/>
      <c r="X64" s="26"/>
      <c r="Y64" s="26"/>
      <c r="Z64" s="26"/>
    </row>
    <row r="65" ht="6.75" customHeight="1">
      <c r="A65" s="26"/>
      <c r="B65" s="26"/>
      <c r="C65" s="26"/>
      <c r="D65" s="30"/>
      <c r="E65" s="26"/>
      <c r="F65" s="26"/>
      <c r="G65" s="26"/>
      <c r="H65" s="26"/>
      <c r="I65" s="31"/>
      <c r="J65" s="26"/>
      <c r="K65" s="26"/>
      <c r="L65" s="26"/>
      <c r="M65" s="26"/>
      <c r="N65" s="26"/>
      <c r="O65" s="26"/>
      <c r="P65" s="26"/>
      <c r="Q65" s="26"/>
      <c r="R65" s="30"/>
      <c r="S65" s="26"/>
      <c r="T65" s="29" t="str">
        <f>"R065="&amp;TEXT(ROUND('防禦合併'!J66,3),"0.0%")&amp;" ~ "&amp;TEXT(ROUND('防禦合併'!K66,3),"0.0%")</f>
        <v>R065=53.7% ~ 59.4%</v>
      </c>
      <c r="U65" s="33"/>
      <c r="V65" s="26"/>
      <c r="W65" s="26"/>
      <c r="X65" s="26"/>
      <c r="Y65" s="26"/>
      <c r="Z65" s="26"/>
    </row>
    <row r="66" ht="6.75" customHeight="1">
      <c r="A66" s="26"/>
      <c r="B66" s="26"/>
      <c r="C66" s="26"/>
      <c r="D66" s="30"/>
      <c r="E66" s="26"/>
      <c r="F66" s="26"/>
      <c r="G66" s="26"/>
      <c r="H66" s="26"/>
      <c r="I66" s="31"/>
      <c r="J66" s="26"/>
      <c r="K66" s="26"/>
      <c r="L66" s="26"/>
      <c r="M66" s="26"/>
      <c r="N66" s="26"/>
      <c r="O66" s="26"/>
      <c r="P66" s="26"/>
      <c r="Q66" s="31"/>
      <c r="R66" s="26"/>
      <c r="S66" s="31"/>
      <c r="T66" s="26"/>
      <c r="U66" s="34" t="s">
        <v>616</v>
      </c>
      <c r="V66" s="28" t="s">
        <v>195</v>
      </c>
      <c r="W66" s="26"/>
      <c r="X66" s="26"/>
      <c r="Y66" s="26"/>
      <c r="Z66" s="26"/>
    </row>
    <row r="67" ht="6.75" customHeight="1">
      <c r="A67" s="26"/>
      <c r="B67" s="26"/>
      <c r="C67" s="26"/>
      <c r="D67" s="30"/>
      <c r="E67" s="26"/>
      <c r="F67" s="26"/>
      <c r="G67" s="26"/>
      <c r="H67" s="26"/>
      <c r="I67" s="31"/>
      <c r="J67" s="26"/>
      <c r="K67" s="26"/>
      <c r="L67" s="26"/>
      <c r="M67" s="26"/>
      <c r="N67" s="26"/>
      <c r="O67" s="26"/>
      <c r="P67" s="26"/>
      <c r="Q67" s="26"/>
      <c r="R67" s="34" t="s">
        <v>617</v>
      </c>
      <c r="S67" s="8"/>
      <c r="T67" s="30"/>
      <c r="U67" s="36" t="str">
        <f>"R067="&amp;TEXT(ROUND('防禦合併'!J68,3),"0.0%")&amp;" ~ "&amp;TEXT(ROUND('防禦合併'!K68,3),"0.0%")</f>
        <v>R067=37.4% ~ 43.4%</v>
      </c>
      <c r="V67" s="28" t="str">
        <f>"P(33)="&amp;'IN-案件機率總表'!B34</f>
        <v>P(33)=0.007%</v>
      </c>
      <c r="W67" s="26"/>
      <c r="X67" s="26"/>
      <c r="Y67" s="26"/>
      <c r="Z67" s="26"/>
    </row>
    <row r="68" ht="6.75" customHeight="1">
      <c r="A68" s="26"/>
      <c r="B68" s="26"/>
      <c r="C68" s="26"/>
      <c r="D68" s="30"/>
      <c r="E68" s="26"/>
      <c r="F68" s="26"/>
      <c r="G68" s="26"/>
      <c r="H68" s="26"/>
      <c r="I68" s="31"/>
      <c r="J68" s="26"/>
      <c r="K68" s="26"/>
      <c r="L68" s="26"/>
      <c r="M68" s="26"/>
      <c r="N68" s="26"/>
      <c r="O68" s="26"/>
      <c r="P68" s="26"/>
      <c r="Q68" s="26"/>
      <c r="R68" s="36" t="str">
        <f>"R064="&amp;TEXT(ROUND('防禦合併'!J65,3),"0.0%")&amp;" ~ "&amp;TEXT(ROUND('防禦合併'!K65,3),"0.0%")</f>
        <v>R064=45.6% ~ 50.8%</v>
      </c>
      <c r="S68" s="11"/>
      <c r="T68" s="30"/>
      <c r="U68" s="26"/>
      <c r="V68" s="26"/>
      <c r="W68" s="26"/>
      <c r="X68" s="26"/>
      <c r="Y68" s="26"/>
      <c r="Z68" s="26"/>
    </row>
    <row r="69" ht="6.75" customHeight="1">
      <c r="A69" s="26"/>
      <c r="B69" s="26"/>
      <c r="C69" s="26"/>
      <c r="D69" s="30"/>
      <c r="E69" s="26"/>
      <c r="F69" s="26"/>
      <c r="G69" s="26"/>
      <c r="H69" s="26"/>
      <c r="I69" s="31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30"/>
      <c r="U69" s="27" t="s">
        <v>618</v>
      </c>
      <c r="V69" s="28" t="s">
        <v>201</v>
      </c>
      <c r="W69" s="26"/>
      <c r="X69" s="26"/>
      <c r="Y69" s="26"/>
      <c r="Z69" s="26"/>
    </row>
    <row r="70" ht="6.75" customHeight="1">
      <c r="A70" s="26"/>
      <c r="B70" s="26"/>
      <c r="C70" s="26"/>
      <c r="D70" s="30"/>
      <c r="E70" s="26"/>
      <c r="F70" s="26"/>
      <c r="G70" s="26"/>
      <c r="H70" s="26"/>
      <c r="I70" s="31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30"/>
      <c r="U70" s="29" t="str">
        <f>"R069="&amp;TEXT(ROUND('防禦合併'!J70,3),"0.0%")&amp;" ~ "&amp;TEXT(ROUND('防禦合併'!K70,3),"0.0%")</f>
        <v>R069=45.3% ~ 50.1%</v>
      </c>
      <c r="V70" s="28" t="str">
        <f>"P(34)="&amp;'IN-案件機率總表'!B35</f>
        <v>P(34)=0.006%</v>
      </c>
      <c r="W70" s="26"/>
      <c r="X70" s="26"/>
      <c r="Y70" s="26"/>
      <c r="Z70" s="26"/>
    </row>
    <row r="71" ht="6.75" customHeight="1">
      <c r="A71" s="26"/>
      <c r="B71" s="26"/>
      <c r="C71" s="26"/>
      <c r="D71" s="30"/>
      <c r="E71" s="26"/>
      <c r="F71" s="26"/>
      <c r="G71" s="26"/>
      <c r="H71" s="26"/>
      <c r="I71" s="31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34" t="s">
        <v>619</v>
      </c>
      <c r="U71" s="33"/>
      <c r="V71" s="26"/>
      <c r="W71" s="26"/>
      <c r="X71" s="26"/>
      <c r="Y71" s="26"/>
      <c r="Z71" s="26"/>
    </row>
    <row r="72" ht="6.75" customHeight="1">
      <c r="A72" s="26"/>
      <c r="B72" s="26"/>
      <c r="C72" s="26"/>
      <c r="D72" s="30"/>
      <c r="E72" s="26"/>
      <c r="F72" s="26"/>
      <c r="G72" s="26"/>
      <c r="H72" s="26"/>
      <c r="I72" s="31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36" t="str">
        <f>"R068="&amp;TEXT(ROUND('防禦合併'!J69,3),"0.0%")&amp;" ~ "&amp;TEXT(ROUND('防禦合併'!K69,3),"0.0%")</f>
        <v>R068=40.6% ~ 46.3%</v>
      </c>
      <c r="U72" s="34" t="s">
        <v>620</v>
      </c>
      <c r="V72" s="28" t="s">
        <v>207</v>
      </c>
      <c r="W72" s="26"/>
      <c r="X72" s="26"/>
      <c r="Y72" s="26"/>
      <c r="Z72" s="26"/>
    </row>
    <row r="73" ht="6.75" customHeight="1">
      <c r="A73" s="26"/>
      <c r="B73" s="26"/>
      <c r="C73" s="26"/>
      <c r="D73" s="30"/>
      <c r="E73" s="26"/>
      <c r="F73" s="26"/>
      <c r="G73" s="26"/>
      <c r="H73" s="26"/>
      <c r="I73" s="31"/>
      <c r="J73" s="26"/>
      <c r="K73" s="26"/>
      <c r="L73" s="27" t="s">
        <v>621</v>
      </c>
      <c r="M73" s="3"/>
      <c r="N73" s="28" t="s">
        <v>209</v>
      </c>
      <c r="O73" s="26"/>
      <c r="P73" s="26"/>
      <c r="Q73" s="26"/>
      <c r="R73" s="26"/>
      <c r="S73" s="26"/>
      <c r="T73" s="26"/>
      <c r="U73" s="36" t="str">
        <f>"R070="&amp;TEXT(ROUND('防禦合併'!J71,3),"0.0%")&amp;" ~ "&amp;TEXT(ROUND('防禦合併'!K71,3),"0.0%")</f>
        <v>R070=49.9% ~ 54.7%</v>
      </c>
      <c r="V73" s="28" t="str">
        <f>"P(35)="&amp;'IN-案件機率總表'!B36</f>
        <v>P(35)=0.007%</v>
      </c>
      <c r="W73" s="26"/>
      <c r="X73" s="26"/>
      <c r="Y73" s="26"/>
      <c r="Z73" s="26"/>
    </row>
    <row r="74" ht="6.75" customHeight="1">
      <c r="A74" s="26"/>
      <c r="B74" s="26"/>
      <c r="C74" s="26"/>
      <c r="D74" s="30"/>
      <c r="E74" s="26"/>
      <c r="F74" s="26"/>
      <c r="G74" s="26"/>
      <c r="H74" s="26"/>
      <c r="I74" s="31"/>
      <c r="J74" s="26"/>
      <c r="K74" s="26"/>
      <c r="L74" s="29" t="str">
        <f>"R072="&amp;TEXT(ROUND('防禦合併'!J73,3),"0.0%")&amp;" ~ "&amp;TEXT(ROUND('防禦合併'!K73,3),"0.0%")</f>
        <v>R072=61.1% ~ 67.5%</v>
      </c>
      <c r="M74" s="6"/>
      <c r="N74" s="28" t="str">
        <f>"P(36)="&amp;'IN-案件機率總表'!B37</f>
        <v>P(36)=6.834%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ht="6.75" customHeight="1">
      <c r="A75" s="26"/>
      <c r="B75" s="26"/>
      <c r="C75" s="26"/>
      <c r="D75" s="30"/>
      <c r="E75" s="26"/>
      <c r="F75" s="26"/>
      <c r="G75" s="26"/>
      <c r="H75" s="26"/>
      <c r="I75" s="31"/>
      <c r="J75" s="26"/>
      <c r="K75" s="26"/>
      <c r="L75" s="30"/>
      <c r="M75" s="26"/>
      <c r="N75" s="27" t="s">
        <v>622</v>
      </c>
      <c r="O75" s="3"/>
      <c r="P75" s="28" t="s">
        <v>215</v>
      </c>
      <c r="Q75" s="26"/>
      <c r="R75" s="26"/>
      <c r="S75" s="26"/>
      <c r="T75" s="26"/>
      <c r="U75" s="27" t="s">
        <v>623</v>
      </c>
      <c r="V75" s="28" t="s">
        <v>217</v>
      </c>
      <c r="W75" s="26"/>
      <c r="X75" s="26"/>
      <c r="Y75" s="26"/>
      <c r="Z75" s="26"/>
    </row>
    <row r="76" ht="6.75" customHeight="1">
      <c r="A76" s="26"/>
      <c r="B76" s="26"/>
      <c r="C76" s="26"/>
      <c r="D76" s="30"/>
      <c r="E76" s="26"/>
      <c r="F76" s="26"/>
      <c r="G76" s="26"/>
      <c r="H76" s="26"/>
      <c r="I76" s="31"/>
      <c r="J76" s="39" t="s">
        <v>624</v>
      </c>
      <c r="K76" s="8"/>
      <c r="L76" s="30"/>
      <c r="M76" s="26"/>
      <c r="N76" s="29" t="str">
        <f>"R074="&amp;TEXT(ROUND('防禦合併'!J75,3),"0.0%")&amp;" ~ "&amp;TEXT(ROUND('防禦合併'!K75,3),"0.0%")</f>
        <v>R074=70.0% ~ 77.3%</v>
      </c>
      <c r="O76" s="6"/>
      <c r="P76" s="28" t="str">
        <f>"P(37)="&amp;'IN-案件機率總表'!B38</f>
        <v>P(37)=2.863%</v>
      </c>
      <c r="Q76" s="26"/>
      <c r="R76" s="26"/>
      <c r="S76" s="26"/>
      <c r="T76" s="27" t="s">
        <v>625</v>
      </c>
      <c r="U76" s="29" t="str">
        <f>"R080="&amp;TEXT(ROUND('防禦合併'!J81,3),"0.0%")&amp;" ~ "&amp;TEXT(ROUND('防禦合併'!K81,3),"0.0%")</f>
        <v>R080=56.6% ~ 62.6%</v>
      </c>
      <c r="V76" s="28" t="str">
        <f>"P(39)="&amp;'IN-案件機率總表'!B40</f>
        <v>P(39)=0.025%</v>
      </c>
      <c r="W76" s="26"/>
      <c r="X76" s="26"/>
      <c r="Y76" s="26"/>
      <c r="Z76" s="26"/>
    </row>
    <row r="77" ht="6.75" customHeight="1">
      <c r="A77" s="26"/>
      <c r="B77" s="40" t="s">
        <v>626</v>
      </c>
      <c r="C77" s="26"/>
      <c r="D77" s="30"/>
      <c r="E77" s="26"/>
      <c r="F77" s="26"/>
      <c r="G77" s="26"/>
      <c r="H77" s="26"/>
      <c r="I77" s="26"/>
      <c r="J77" s="36" t="str">
        <f>"R071="&amp;TEXT(ROUND('防禦合併'!J72,3),"0.0%")&amp;" ~ "&amp;TEXT(ROUND('防禦合併'!K72,3),"0.0%")</f>
        <v>R071=78.3% ~ 80.3%</v>
      </c>
      <c r="K77" s="11"/>
      <c r="L77" s="26"/>
      <c r="M77" s="26"/>
      <c r="N77" s="30"/>
      <c r="O77" s="26"/>
      <c r="P77" s="27" t="s">
        <v>627</v>
      </c>
      <c r="Q77" s="3"/>
      <c r="R77" s="28" t="s">
        <v>227</v>
      </c>
      <c r="S77" s="26"/>
      <c r="T77" s="29" t="str">
        <f>"R079="&amp;TEXT(ROUND('防禦合併'!J80,3),"0.0%")&amp;" ~ "&amp;TEXT(ROUND('防禦合併'!K80,3),"0.0%")</f>
        <v>R079=63.2% ~ 69.9%</v>
      </c>
      <c r="U77" s="33"/>
      <c r="V77" s="26"/>
      <c r="W77" s="26"/>
      <c r="X77" s="26"/>
      <c r="Y77" s="26"/>
      <c r="Z77" s="26"/>
    </row>
    <row r="78" ht="6.75" customHeight="1">
      <c r="A78" s="26"/>
      <c r="B78" s="3"/>
      <c r="C78" s="26"/>
      <c r="D78" s="30"/>
      <c r="E78" s="26"/>
      <c r="F78" s="26"/>
      <c r="G78" s="26"/>
      <c r="H78" s="26"/>
      <c r="I78" s="26"/>
      <c r="J78" s="26"/>
      <c r="K78" s="31"/>
      <c r="L78" s="34" t="s">
        <v>628</v>
      </c>
      <c r="M78" s="8"/>
      <c r="N78" s="30"/>
      <c r="O78" s="26"/>
      <c r="P78" s="29" t="str">
        <f>"R076="&amp;TEXT(ROUND('防禦合併'!J77,3),"0.0%")&amp;" ~ "&amp;TEXT(ROUND('防禦合併'!K77,3),"0.0%")</f>
        <v>R076=73.1% ~ 80.8%</v>
      </c>
      <c r="Q78" s="6"/>
      <c r="R78" s="28" t="str">
        <f>"P(38)="&amp;'IN-案件機率總表'!B39</f>
        <v>P(38)=0.792%</v>
      </c>
      <c r="S78" s="31"/>
      <c r="T78" s="26"/>
      <c r="U78" s="34" t="s">
        <v>629</v>
      </c>
      <c r="V78" s="28" t="s">
        <v>233</v>
      </c>
      <c r="W78" s="26"/>
      <c r="X78" s="26"/>
      <c r="Y78" s="26"/>
      <c r="Z78" s="26"/>
    </row>
    <row r="79" ht="6.75" customHeight="1">
      <c r="A79" s="26"/>
      <c r="B79" s="41" t="s">
        <v>630</v>
      </c>
      <c r="C79" s="26"/>
      <c r="D79" s="30"/>
      <c r="E79" s="26"/>
      <c r="F79" s="26"/>
      <c r="G79" s="26"/>
      <c r="H79" s="26"/>
      <c r="I79" s="26"/>
      <c r="J79" s="26"/>
      <c r="K79" s="26"/>
      <c r="L79" s="36" t="str">
        <f>"R073="&amp;TEXT(ROUND('防禦合併'!J74,3),"0.0%")&amp;" ~ "&amp;TEXT(ROUND('防禦合併'!K74,3),"0.0%")</f>
        <v>R073=32.5% ~ 38.9%</v>
      </c>
      <c r="M79" s="11"/>
      <c r="N79" s="26"/>
      <c r="O79" s="26"/>
      <c r="P79" s="30"/>
      <c r="Q79" s="26"/>
      <c r="R79" s="27" t="s">
        <v>631</v>
      </c>
      <c r="S79" s="8"/>
      <c r="T79" s="30"/>
      <c r="U79" s="36" t="str">
        <f>"R081="&amp;TEXT(ROUND('防禦合併'!J82,3),"0.0%")&amp;" ~ "&amp;TEXT(ROUND('防禦合併'!K82,3),"0.0%")</f>
        <v>R081=37.4% ~ 43.4%</v>
      </c>
      <c r="V79" s="28" t="str">
        <f>"P(40)="&amp;'IN-案件機率總表'!B41</f>
        <v>P(40)=0.017%</v>
      </c>
      <c r="W79" s="26"/>
      <c r="X79" s="26"/>
      <c r="Y79" s="26"/>
      <c r="Z79" s="26"/>
    </row>
    <row r="80" ht="6.75" customHeight="1">
      <c r="A80" s="26"/>
      <c r="B80" s="21"/>
      <c r="C80" s="42"/>
      <c r="D80" s="30"/>
      <c r="E80" s="26"/>
      <c r="F80" s="26"/>
      <c r="G80" s="26"/>
      <c r="H80" s="26"/>
      <c r="I80" s="26"/>
      <c r="J80" s="26"/>
      <c r="K80" s="26"/>
      <c r="L80" s="26"/>
      <c r="M80" s="31"/>
      <c r="N80" s="26"/>
      <c r="O80" s="26"/>
      <c r="P80" s="30"/>
      <c r="Q80" s="26"/>
      <c r="R80" s="29" t="str">
        <f>"R078="&amp;TEXT(ROUND('防禦合併'!J79,3),"0.0%")&amp;" ~ "&amp;TEXT(ROUND('防禦合併'!K79,3),"0.0%")</f>
        <v>R078=24.6% ~ 27.2%</v>
      </c>
      <c r="S80" s="11"/>
      <c r="T80" s="30"/>
      <c r="U80" s="26"/>
      <c r="V80" s="26"/>
      <c r="W80" s="26"/>
      <c r="X80" s="26"/>
      <c r="Y80" s="26"/>
      <c r="Z80" s="26"/>
    </row>
    <row r="81" ht="6.75" customHeight="1">
      <c r="A81" s="26"/>
      <c r="B81" s="21"/>
      <c r="C81" s="43"/>
      <c r="D81" s="30"/>
      <c r="E81" s="26"/>
      <c r="F81" s="26"/>
      <c r="G81" s="26"/>
      <c r="H81" s="26"/>
      <c r="I81" s="26"/>
      <c r="J81" s="26"/>
      <c r="K81" s="26"/>
      <c r="L81" s="26"/>
      <c r="M81" s="26"/>
      <c r="N81" s="34" t="s">
        <v>632</v>
      </c>
      <c r="O81" s="8"/>
      <c r="P81" s="30"/>
      <c r="Q81" s="26"/>
      <c r="R81" s="30"/>
      <c r="S81" s="26"/>
      <c r="T81" s="30"/>
      <c r="U81" s="27" t="s">
        <v>633</v>
      </c>
      <c r="V81" s="28" t="s">
        <v>242</v>
      </c>
      <c r="W81" s="26"/>
      <c r="X81" s="26"/>
      <c r="Y81" s="26"/>
      <c r="Z81" s="26"/>
    </row>
    <row r="82" ht="6.75" customHeight="1">
      <c r="A82" s="26"/>
      <c r="B82" s="24"/>
      <c r="C82" s="26"/>
      <c r="D82" s="30"/>
      <c r="E82" s="26"/>
      <c r="F82" s="26"/>
      <c r="G82" s="26"/>
      <c r="H82" s="26"/>
      <c r="I82" s="26"/>
      <c r="J82" s="26"/>
      <c r="K82" s="26"/>
      <c r="L82" s="26"/>
      <c r="M82" s="26"/>
      <c r="N82" s="36" t="str">
        <f>"R075="&amp;TEXT(ROUND('防禦合併'!J76,3),"0.0%")&amp;" ~ "&amp;TEXT(ROUND('防禦合併'!K76,3),"0.0%")</f>
        <v>R075=22.7% ~ 30.0%</v>
      </c>
      <c r="O82" s="11"/>
      <c r="P82" s="30"/>
      <c r="Q82" s="26"/>
      <c r="R82" s="30"/>
      <c r="S82" s="26"/>
      <c r="T82" s="30"/>
      <c r="U82" s="29" t="str">
        <f>"R083="&amp;TEXT(ROUND('防禦合併'!J84,3),"0.0%")&amp;" ~ "&amp;TEXT(ROUND('防禦合併'!K84,3),"0.0%")</f>
        <v>R083=45.3% ~ 50.1%</v>
      </c>
      <c r="V82" s="28" t="str">
        <f>"P(41)="&amp;'IN-案件機率總表'!B42</f>
        <v>P(41)=0.010%</v>
      </c>
      <c r="W82" s="26"/>
      <c r="X82" s="26"/>
      <c r="Y82" s="26"/>
      <c r="Z82" s="26"/>
    </row>
    <row r="83" ht="6.75" customHeight="1">
      <c r="A83" s="26"/>
      <c r="B83" s="44" t="s">
        <v>634</v>
      </c>
      <c r="C83" s="26"/>
      <c r="D83" s="30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30"/>
      <c r="Q83" s="26"/>
      <c r="R83" s="30"/>
      <c r="S83" s="26"/>
      <c r="T83" s="34" t="s">
        <v>635</v>
      </c>
      <c r="U83" s="33"/>
      <c r="V83" s="26"/>
      <c r="W83" s="26"/>
      <c r="X83" s="26"/>
      <c r="Y83" s="26"/>
      <c r="Z83" s="26"/>
    </row>
    <row r="84" ht="6.75" customHeight="1">
      <c r="A84" s="26"/>
      <c r="C84" s="26"/>
      <c r="D84" s="30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30"/>
      <c r="Q84" s="26"/>
      <c r="R84" s="30"/>
      <c r="S84" s="26"/>
      <c r="T84" s="36" t="str">
        <f>"R082="&amp;TEXT(ROUND('防禦合併'!J83,3),"0.0%")&amp;" ~ "&amp;TEXT(ROUND('防禦合併'!K83,3),"0.0%")</f>
        <v>R082=30.1% ~ 36.8%</v>
      </c>
      <c r="U84" s="34" t="s">
        <v>636</v>
      </c>
      <c r="V84" s="28" t="s">
        <v>250</v>
      </c>
      <c r="W84" s="26"/>
      <c r="X84" s="26"/>
      <c r="Y84" s="26"/>
      <c r="Z84" s="26"/>
    </row>
    <row r="85" ht="6.75" customHeight="1">
      <c r="A85" s="26"/>
      <c r="B85" s="26"/>
      <c r="C85" s="26"/>
      <c r="D85" s="3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34" t="s">
        <v>637</v>
      </c>
      <c r="Q85" s="8"/>
      <c r="R85" s="30"/>
      <c r="S85" s="26"/>
      <c r="T85" s="26"/>
      <c r="U85" s="36" t="str">
        <f>"R084="&amp;TEXT(ROUND('防禦合併'!J85,3),"0.0%")&amp;" ~ "&amp;TEXT(ROUND('防禦合併'!K85,3),"0.0%")</f>
        <v>R084=49.9% ~ 54.7%</v>
      </c>
      <c r="V85" s="28" t="str">
        <f>"P(42)="&amp;'IN-案件機率總表'!B43</f>
        <v>P(42)=0.011%</v>
      </c>
      <c r="W85" s="26"/>
      <c r="X85" s="26"/>
      <c r="Y85" s="26"/>
      <c r="Z85" s="26"/>
    </row>
    <row r="86" ht="6.75" customHeight="1">
      <c r="A86" s="26"/>
      <c r="B86" s="26"/>
      <c r="C86" s="26"/>
      <c r="D86" s="3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36" t="str">
        <f>"R077="&amp;TEXT(ROUND('防禦合併'!J78,3),"0.0%")&amp;" ~ "&amp;TEXT(ROUND('防禦合併'!K78,3),"0.0%")</f>
        <v>R077=19.2% ~ 26.9%</v>
      </c>
      <c r="Q86" s="11"/>
      <c r="R86" s="30"/>
      <c r="S86" s="26"/>
      <c r="T86" s="26"/>
      <c r="U86" s="26"/>
      <c r="V86" s="26"/>
      <c r="W86" s="26"/>
      <c r="X86" s="26"/>
      <c r="Y86" s="26"/>
      <c r="Z86" s="26"/>
    </row>
    <row r="87" ht="6.75" customHeight="1">
      <c r="A87" s="26"/>
      <c r="B87" s="26"/>
      <c r="C87" s="26"/>
      <c r="D87" s="3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30"/>
      <c r="S87" s="26"/>
      <c r="T87" s="26"/>
      <c r="U87" s="27" t="s">
        <v>638</v>
      </c>
      <c r="V87" s="28" t="s">
        <v>256</v>
      </c>
      <c r="W87" s="26"/>
      <c r="X87" s="26"/>
      <c r="Y87" s="26"/>
      <c r="Z87" s="26"/>
    </row>
    <row r="88" ht="6.75" customHeight="1">
      <c r="A88" s="26"/>
      <c r="B88" s="26"/>
      <c r="C88" s="26"/>
      <c r="D88" s="3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30"/>
      <c r="S88" s="26"/>
      <c r="T88" s="27" t="s">
        <v>639</v>
      </c>
      <c r="U88" s="29" t="str">
        <f>"R087="&amp;TEXT(ROUND('防禦合併'!J88,3),"0.0%")&amp;" ~ "&amp;TEXT(ROUND('防禦合併'!K88,3),"0.0%")</f>
        <v>R087=56.6% ~ 62.6%</v>
      </c>
      <c r="V88" s="28" t="str">
        <f>"P(43)="&amp;'IN-案件機率總表'!B44</f>
        <v>P(43)=0.060%</v>
      </c>
      <c r="W88" s="26"/>
      <c r="X88" s="26"/>
      <c r="Y88" s="26"/>
      <c r="Z88" s="26"/>
    </row>
    <row r="89" ht="6.75" customHeight="1">
      <c r="A89" s="26"/>
      <c r="B89" s="26"/>
      <c r="C89" s="26"/>
      <c r="D89" s="3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30"/>
      <c r="S89" s="26"/>
      <c r="T89" s="29" t="str">
        <f>"R086="&amp;TEXT(ROUND('防禦合併'!J87,3),"0.0%")&amp;" ~ "&amp;TEXT(ROUND('防禦合併'!K87,3),"0.0%")</f>
        <v>R086=53.7% ~ 59.4%</v>
      </c>
      <c r="U89" s="33"/>
      <c r="V89" s="26"/>
      <c r="W89" s="26"/>
      <c r="X89" s="26"/>
      <c r="Y89" s="26"/>
      <c r="Z89" s="26"/>
    </row>
    <row r="90" ht="6.75" customHeight="1">
      <c r="A90" s="26"/>
      <c r="B90" s="26"/>
      <c r="C90" s="26"/>
      <c r="D90" s="30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30"/>
      <c r="S90" s="31"/>
      <c r="T90" s="26"/>
      <c r="U90" s="34" t="s">
        <v>640</v>
      </c>
      <c r="V90" s="28" t="s">
        <v>262</v>
      </c>
      <c r="W90" s="26"/>
      <c r="X90" s="26"/>
      <c r="Y90" s="26"/>
      <c r="Z90" s="26"/>
    </row>
    <row r="91" ht="6.75" customHeight="1">
      <c r="A91" s="26"/>
      <c r="B91" s="26"/>
      <c r="C91" s="26"/>
      <c r="D91" s="30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34" t="s">
        <v>641</v>
      </c>
      <c r="S91" s="8"/>
      <c r="T91" s="30"/>
      <c r="U91" s="36" t="str">
        <f>"R088="&amp;TEXT(ROUND('防禦合併'!J89,3),"0.0%")&amp;" ~ "&amp;TEXT(ROUND('防禦合併'!K89,3),"0.0%")</f>
        <v>R088=37.4% ~ 43.4%</v>
      </c>
      <c r="V91" s="28" t="str">
        <f>"P(44)="&amp;'IN-案件機率總表'!B45</f>
        <v>P(44)=0.041%</v>
      </c>
      <c r="W91" s="26"/>
      <c r="X91" s="26"/>
      <c r="Y91" s="26"/>
      <c r="Z91" s="26"/>
    </row>
    <row r="92" ht="6.75" customHeight="1">
      <c r="A92" s="26"/>
      <c r="B92" s="26"/>
      <c r="C92" s="26"/>
      <c r="D92" s="30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36" t="str">
        <f>"R085="&amp;TEXT(ROUND('防禦合併'!J86,3),"0.0%")&amp;" ~ "&amp;TEXT(ROUND('防禦合併'!K86,3),"0.0%")</f>
        <v>R085=72.8% ~ 75.4%</v>
      </c>
      <c r="S92" s="11"/>
      <c r="T92" s="30"/>
      <c r="U92" s="26"/>
      <c r="V92" s="26"/>
      <c r="W92" s="26"/>
      <c r="X92" s="26"/>
      <c r="Y92" s="26"/>
      <c r="Z92" s="26"/>
    </row>
    <row r="93" ht="6.75" customHeight="1">
      <c r="A93" s="26"/>
      <c r="B93" s="26"/>
      <c r="C93" s="26"/>
      <c r="D93" s="30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30"/>
      <c r="U93" s="27" t="s">
        <v>642</v>
      </c>
      <c r="V93" s="28" t="s">
        <v>268</v>
      </c>
      <c r="W93" s="26"/>
      <c r="X93" s="26"/>
      <c r="Y93" s="26"/>
      <c r="Z93" s="26"/>
    </row>
    <row r="94" ht="6.75" customHeight="1">
      <c r="A94" s="26"/>
      <c r="B94" s="26"/>
      <c r="C94" s="26"/>
      <c r="D94" s="30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30"/>
      <c r="U94" s="29" t="str">
        <f>"R090="&amp;TEXT(ROUND('防禦合併'!J91,3),"0.0%")&amp;" ~ "&amp;TEXT(ROUND('防禦合併'!K91,3),"0.0%")</f>
        <v>R090=45.3% ~ 50.1%</v>
      </c>
      <c r="V94" s="28" t="str">
        <f>"P(45)="&amp;'IN-案件機率總表'!B46</f>
        <v>P(45)=0.037%</v>
      </c>
      <c r="W94" s="26"/>
      <c r="X94" s="26"/>
      <c r="Y94" s="26"/>
      <c r="Z94" s="26"/>
    </row>
    <row r="95" ht="6.75" customHeight="1">
      <c r="A95" s="26"/>
      <c r="B95" s="26"/>
      <c r="C95" s="26"/>
      <c r="D95" s="3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34" t="s">
        <v>643</v>
      </c>
      <c r="U95" s="33"/>
      <c r="V95" s="26"/>
      <c r="W95" s="26"/>
      <c r="X95" s="26"/>
      <c r="Y95" s="26"/>
      <c r="Z95" s="26"/>
    </row>
    <row r="96" ht="6.75" customHeight="1">
      <c r="A96" s="26"/>
      <c r="B96" s="26"/>
      <c r="C96" s="26"/>
      <c r="D96" s="30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36" t="str">
        <f>"R089="&amp;TEXT(ROUND('防禦合併'!J90,3),"0.0%")&amp;" ~ "&amp;TEXT(ROUND('防禦合併'!K90,3),"0.0%")</f>
        <v>R089=40.6% ~ 46.3%</v>
      </c>
      <c r="U96" s="34" t="s">
        <v>644</v>
      </c>
      <c r="V96" s="28" t="s">
        <v>274</v>
      </c>
      <c r="W96" s="26"/>
      <c r="X96" s="26"/>
      <c r="Y96" s="26"/>
      <c r="Z96" s="26"/>
    </row>
    <row r="97" ht="6.75" customHeight="1">
      <c r="A97" s="26"/>
      <c r="B97" s="26"/>
      <c r="C97" s="26"/>
      <c r="D97" s="30"/>
      <c r="E97" s="26"/>
      <c r="F97" s="26"/>
      <c r="G97" s="26"/>
      <c r="H97" s="27" t="s">
        <v>645</v>
      </c>
      <c r="I97" s="3"/>
      <c r="J97" s="28" t="s">
        <v>276</v>
      </c>
      <c r="K97" s="26"/>
      <c r="L97" s="27" t="s">
        <v>646</v>
      </c>
      <c r="M97" s="3"/>
      <c r="N97" s="28" t="s">
        <v>278</v>
      </c>
      <c r="O97" s="26"/>
      <c r="P97" s="26"/>
      <c r="Q97" s="26"/>
      <c r="R97" s="26"/>
      <c r="S97" s="26"/>
      <c r="T97" s="26"/>
      <c r="U97" s="36" t="str">
        <f>"R091="&amp;TEXT(ROUND('防禦合併'!J92,3),"0.0%")&amp;" ~ "&amp;TEXT(ROUND('防禦合併'!K92,3),"0.0%")</f>
        <v>R091=49.9% ~ 54.7%</v>
      </c>
      <c r="V97" s="28" t="str">
        <f>"P(46)="&amp;'IN-案件機率總表'!B47</f>
        <v>P(46)=0.041%</v>
      </c>
      <c r="W97" s="26"/>
      <c r="X97" s="26"/>
      <c r="Y97" s="26"/>
      <c r="Z97" s="26"/>
    </row>
    <row r="98" ht="6.75" customHeight="1">
      <c r="A98" s="26"/>
      <c r="B98" s="26"/>
      <c r="C98" s="26"/>
      <c r="D98" s="30"/>
      <c r="E98" s="26"/>
      <c r="F98" s="26"/>
      <c r="G98" s="26"/>
      <c r="H98" s="29" t="str">
        <f>"R094="&amp;TEXT(ROUND('防禦合併'!J95,3),"0.0%")&amp;" ~ "&amp;TEXT(ROUND('防禦合併'!K95,3),"0.0%")</f>
        <v>R094=75.2% ~ 83.2%</v>
      </c>
      <c r="I98" s="6"/>
      <c r="J98" s="28" t="str">
        <f>"P(47)="&amp;'IN-案件機率總表'!B48</f>
        <v>P(47)=10.455%</v>
      </c>
      <c r="K98" s="26"/>
      <c r="L98" s="29" t="str">
        <f>"R097="&amp;TEXT(ROUND('防禦合併'!J98,3),"0.0%")&amp;" ~ "&amp;TEXT(ROUND('防禦合併'!K98,3),"0.0%")</f>
        <v>R097=61.1% ~ 67.5%</v>
      </c>
      <c r="M98" s="6"/>
      <c r="N98" s="28" t="str">
        <f>"P(48)="&amp;'IN-案件機率總表'!B49</f>
        <v>P(48)=0.474%</v>
      </c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6.75" customHeight="1">
      <c r="A99" s="26"/>
      <c r="B99" s="26"/>
      <c r="C99" s="26"/>
      <c r="D99" s="30"/>
      <c r="E99" s="26"/>
      <c r="F99" s="26"/>
      <c r="G99" s="26"/>
      <c r="H99" s="30"/>
      <c r="I99" s="26"/>
      <c r="J99" s="27" t="s">
        <v>647</v>
      </c>
      <c r="K99" s="8"/>
      <c r="L99" s="30"/>
      <c r="M99" s="26"/>
      <c r="N99" s="27" t="s">
        <v>648</v>
      </c>
      <c r="O99" s="3"/>
      <c r="P99" s="28" t="s">
        <v>287</v>
      </c>
      <c r="Q99" s="26"/>
      <c r="R99" s="26"/>
      <c r="S99" s="26"/>
      <c r="T99" s="26"/>
      <c r="U99" s="27" t="s">
        <v>649</v>
      </c>
      <c r="V99" s="28" t="s">
        <v>289</v>
      </c>
      <c r="W99" s="26"/>
      <c r="X99" s="26"/>
      <c r="Y99" s="26"/>
      <c r="Z99" s="26"/>
    </row>
    <row r="100" ht="6.75" customHeight="1">
      <c r="A100" s="26"/>
      <c r="B100" s="26"/>
      <c r="C100" s="26"/>
      <c r="D100" s="30"/>
      <c r="E100" s="26"/>
      <c r="F100" s="26"/>
      <c r="G100" s="26"/>
      <c r="H100" s="30"/>
      <c r="I100" s="31"/>
      <c r="J100" s="32" t="str">
        <f>"R096="&amp;TEXT(ROUND('防禦合併'!J97,3),"0.0%")&amp;" ~ "&amp;TEXT(ROUND('防禦合併'!K97,3),"0.0%")</f>
        <v>R096=25.0% ~ 27.6%</v>
      </c>
      <c r="K100" s="11"/>
      <c r="L100" s="30"/>
      <c r="M100" s="26"/>
      <c r="N100" s="29" t="str">
        <f>"R099="&amp;TEXT(ROUND('防禦合併'!J100,3),"0.0%")&amp;" ~ "&amp;TEXT(ROUND('防禦合併'!K100,3),"0.0%")</f>
        <v>R099=70.0% ~ 77.3%</v>
      </c>
      <c r="O100" s="6"/>
      <c r="P100" s="28" t="str">
        <f>"P(49)="&amp;'IN-案件機率總表'!B50</f>
        <v>P(49)=0.198%</v>
      </c>
      <c r="Q100" s="26"/>
      <c r="R100" s="26"/>
      <c r="S100" s="26"/>
      <c r="T100" s="27" t="s">
        <v>650</v>
      </c>
      <c r="U100" s="29" t="str">
        <f>"R105="&amp;TEXT(ROUND('防禦合併'!J106,3),"0.0%")&amp;" ~ "&amp;TEXT(ROUND('防禦合併'!K106,3),"0.0%")</f>
        <v>R105=56.6% ~ 62.6%</v>
      </c>
      <c r="V100" s="28" t="str">
        <f>"P(51)="&amp;'IN-案件機率總表'!B52</f>
        <v>P(51)=0.003%</v>
      </c>
      <c r="W100" s="26"/>
      <c r="X100" s="26"/>
      <c r="Y100" s="26"/>
      <c r="Z100" s="26"/>
    </row>
    <row r="101" ht="6.75" customHeight="1">
      <c r="A101" s="26"/>
      <c r="B101" s="26"/>
      <c r="C101" s="26"/>
      <c r="D101" s="30"/>
      <c r="E101" s="26"/>
      <c r="F101" s="26"/>
      <c r="G101" s="26"/>
      <c r="H101" s="30"/>
      <c r="I101" s="31"/>
      <c r="J101" s="26"/>
      <c r="K101" s="31"/>
      <c r="L101" s="34" t="s">
        <v>651</v>
      </c>
      <c r="M101" s="8"/>
      <c r="N101" s="30"/>
      <c r="O101" s="26"/>
      <c r="P101" s="27" t="s">
        <v>652</v>
      </c>
      <c r="Q101" s="3"/>
      <c r="R101" s="28" t="s">
        <v>298</v>
      </c>
      <c r="S101" s="26"/>
      <c r="T101" s="29" t="str">
        <f>"R104="&amp;TEXT(ROUND('防禦合併'!J105,3),"0.0%")&amp;" ~ "&amp;TEXT(ROUND('防禦合併'!K105,3),"0.0%")</f>
        <v>R104=63.2% ~ 69.9%</v>
      </c>
      <c r="U101" s="33"/>
      <c r="V101" s="26"/>
      <c r="W101" s="26"/>
      <c r="X101" s="26"/>
      <c r="Y101" s="26"/>
      <c r="Z101" s="26"/>
    </row>
    <row r="102" ht="6.75" customHeight="1">
      <c r="A102" s="26"/>
      <c r="B102" s="26"/>
      <c r="C102" s="26"/>
      <c r="D102" s="30"/>
      <c r="E102" s="26"/>
      <c r="F102" s="26"/>
      <c r="G102" s="26"/>
      <c r="H102" s="30"/>
      <c r="I102" s="31"/>
      <c r="J102" s="26"/>
      <c r="K102" s="26"/>
      <c r="L102" s="36" t="str">
        <f>"R098="&amp;TEXT(ROUND('防禦合併'!J99,3),"0.0%")&amp;" ~ "&amp;TEXT(ROUND('防禦合併'!K99,3),"0.0%")</f>
        <v>R098=32.5% ~ 38.9%</v>
      </c>
      <c r="M102" s="11"/>
      <c r="N102" s="30"/>
      <c r="O102" s="26"/>
      <c r="P102" s="29" t="str">
        <f>"R101="&amp;TEXT(ROUND('防禦合併'!J102,3),"0.0%")&amp;" ~ "&amp;TEXT(ROUND('防禦合併'!K102,3),"0.0%")</f>
        <v>R101=73.1% ~ 80.8%</v>
      </c>
      <c r="Q102" s="6"/>
      <c r="R102" s="28" t="str">
        <f>"P(50)="&amp;'IN-案件機率總表'!B51</f>
        <v>P(50)=0.054%</v>
      </c>
      <c r="S102" s="31"/>
      <c r="T102" s="26"/>
      <c r="U102" s="34" t="s">
        <v>653</v>
      </c>
      <c r="V102" s="28" t="s">
        <v>304</v>
      </c>
      <c r="W102" s="26"/>
      <c r="X102" s="26"/>
      <c r="Y102" s="26"/>
      <c r="Z102" s="26"/>
    </row>
    <row r="103" ht="6.75" customHeight="1">
      <c r="A103" s="26"/>
      <c r="B103" s="26"/>
      <c r="C103" s="26"/>
      <c r="D103" s="30"/>
      <c r="E103" s="26"/>
      <c r="F103" s="27" t="s">
        <v>654</v>
      </c>
      <c r="G103" s="8"/>
      <c r="H103" s="30"/>
      <c r="I103" s="31"/>
      <c r="J103" s="26"/>
      <c r="K103" s="26"/>
      <c r="L103" s="26"/>
      <c r="M103" s="31"/>
      <c r="N103" s="26"/>
      <c r="O103" s="26"/>
      <c r="P103" s="30"/>
      <c r="Q103" s="26"/>
      <c r="R103" s="27" t="s">
        <v>655</v>
      </c>
      <c r="S103" s="8"/>
      <c r="T103" s="30"/>
      <c r="U103" s="36" t="str">
        <f>"R106="&amp;TEXT(ROUND('防禦合併'!J107,3),"0.0%")&amp;" ~ "&amp;TEXT(ROUND('防禦合併'!K107,3),"0.0%")</f>
        <v>R106=37.4% ~ 43.4%</v>
      </c>
      <c r="V103" s="28" t="str">
        <f>"P(52)="&amp;'IN-案件機率總表'!B53</f>
        <v>P(52)=0.002%</v>
      </c>
      <c r="W103" s="26"/>
      <c r="X103" s="26"/>
      <c r="Y103" s="26"/>
      <c r="Z103" s="26"/>
    </row>
    <row r="104" ht="6.75" customHeight="1">
      <c r="A104" s="26"/>
      <c r="B104" s="26"/>
      <c r="C104" s="26"/>
      <c r="D104" s="30"/>
      <c r="E104" s="26"/>
      <c r="F104" s="29" t="str">
        <f>"R093="&amp;TEXT(ROUND('防禦合併'!J94,3),"0.0%")&amp;" ~ "&amp;TEXT(ROUND('防禦合併'!K94,3),"0.0%")</f>
        <v>R093=34.0% ~ 37.6%</v>
      </c>
      <c r="G104" s="11"/>
      <c r="H104" s="30"/>
      <c r="I104" s="31"/>
      <c r="J104" s="35"/>
      <c r="K104" s="26"/>
      <c r="L104" s="26"/>
      <c r="M104" s="26"/>
      <c r="N104" s="34" t="s">
        <v>656</v>
      </c>
      <c r="O104" s="8"/>
      <c r="P104" s="30"/>
      <c r="Q104" s="26"/>
      <c r="R104" s="29" t="str">
        <f>"R103="&amp;TEXT(ROUND('防禦合併'!J104,3),"0.0%")&amp;" ~ "&amp;TEXT(ROUND('防禦合併'!K104,3),"0.0%")</f>
        <v>R103=49.2% ~ 54.4%</v>
      </c>
      <c r="S104" s="11"/>
      <c r="T104" s="30"/>
      <c r="U104" s="26"/>
      <c r="V104" s="26"/>
      <c r="W104" s="26"/>
      <c r="X104" s="26"/>
      <c r="Y104" s="26"/>
      <c r="Z104" s="26"/>
    </row>
    <row r="105" ht="6.75" customHeight="1">
      <c r="A105" s="26"/>
      <c r="B105" s="26"/>
      <c r="C105" s="26"/>
      <c r="D105" s="30"/>
      <c r="E105" s="26"/>
      <c r="F105" s="30"/>
      <c r="G105" s="31"/>
      <c r="H105" s="30"/>
      <c r="I105" s="31"/>
      <c r="J105" s="35"/>
      <c r="K105" s="26"/>
      <c r="L105" s="26"/>
      <c r="M105" s="26"/>
      <c r="N105" s="36" t="str">
        <f>"R100="&amp;TEXT(ROUND('防禦合併'!J101,3),"0.0%")&amp;" ~ "&amp;TEXT(ROUND('防禦合併'!K101,3),"0.0%")</f>
        <v>R100=22.7% ~ 30.0%</v>
      </c>
      <c r="O105" s="11"/>
      <c r="P105" s="30"/>
      <c r="Q105" s="26"/>
      <c r="R105" s="30"/>
      <c r="S105" s="26"/>
      <c r="T105" s="30"/>
      <c r="U105" s="27" t="s">
        <v>657</v>
      </c>
      <c r="V105" s="28" t="s">
        <v>314</v>
      </c>
      <c r="W105" s="26"/>
      <c r="X105" s="26"/>
      <c r="Y105" s="26"/>
      <c r="Z105" s="26"/>
    </row>
    <row r="106" ht="6.75" customHeight="1">
      <c r="A106" s="26"/>
      <c r="B106" s="26"/>
      <c r="C106" s="26"/>
      <c r="D106" s="30"/>
      <c r="E106" s="26"/>
      <c r="F106" s="30"/>
      <c r="G106" s="26"/>
      <c r="H106" s="30"/>
      <c r="I106" s="31"/>
      <c r="J106" s="26"/>
      <c r="K106" s="26"/>
      <c r="L106" s="26"/>
      <c r="M106" s="26"/>
      <c r="N106" s="26"/>
      <c r="O106" s="26"/>
      <c r="P106" s="30"/>
      <c r="Q106" s="26"/>
      <c r="R106" s="30"/>
      <c r="S106" s="26"/>
      <c r="T106" s="30"/>
      <c r="U106" s="29" t="str">
        <f>"R108="&amp;TEXT(ROUND('防禦合併'!J109,3),"0.0%")&amp;" ~ "&amp;TEXT(ROUND('防禦合併'!K109,3),"0.0%")</f>
        <v>R108=45.3% ~ 50.1%</v>
      </c>
      <c r="V106" s="28" t="str">
        <f>"P(53)="&amp;'IN-案件機率總表'!B54</f>
        <v>P(53)=0.001%</v>
      </c>
      <c r="W106" s="26"/>
      <c r="X106" s="26"/>
      <c r="Y106" s="26"/>
      <c r="Z106" s="26"/>
    </row>
    <row r="107" ht="6.75" customHeight="1">
      <c r="A107" s="26"/>
      <c r="B107" s="26"/>
      <c r="C107" s="26"/>
      <c r="D107" s="30"/>
      <c r="E107" s="26"/>
      <c r="F107" s="30"/>
      <c r="G107" s="26"/>
      <c r="H107" s="30"/>
      <c r="I107" s="31"/>
      <c r="J107" s="26"/>
      <c r="K107" s="26"/>
      <c r="L107" s="26"/>
      <c r="M107" s="26"/>
      <c r="N107" s="26"/>
      <c r="O107" s="31"/>
      <c r="P107" s="26"/>
      <c r="Q107" s="26"/>
      <c r="R107" s="30"/>
      <c r="S107" s="26"/>
      <c r="T107" s="34" t="s">
        <v>658</v>
      </c>
      <c r="U107" s="33"/>
      <c r="V107" s="26"/>
      <c r="W107" s="26"/>
      <c r="X107" s="26"/>
      <c r="Y107" s="26"/>
      <c r="Z107" s="26"/>
    </row>
    <row r="108" ht="6.75" customHeight="1">
      <c r="A108" s="26"/>
      <c r="B108" s="26"/>
      <c r="C108" s="26"/>
      <c r="D108" s="30"/>
      <c r="E108" s="26"/>
      <c r="F108" s="38"/>
      <c r="G108" s="26"/>
      <c r="H108" s="30"/>
      <c r="I108" s="31"/>
      <c r="J108" s="26"/>
      <c r="K108" s="26"/>
      <c r="L108" s="26"/>
      <c r="M108" s="26"/>
      <c r="N108" s="26"/>
      <c r="O108" s="26"/>
      <c r="P108" s="34" t="s">
        <v>659</v>
      </c>
      <c r="Q108" s="8"/>
      <c r="R108" s="30"/>
      <c r="S108" s="26"/>
      <c r="T108" s="36" t="str">
        <f>"R107="&amp;TEXT(ROUND('防禦合併'!J108,3),"0.0%")&amp;" ~ "&amp;TEXT(ROUND('防禦合併'!K108,3),"0.0%")</f>
        <v>R107=30.1% ~ 36.8%</v>
      </c>
      <c r="U108" s="34" t="s">
        <v>660</v>
      </c>
      <c r="V108" s="28" t="s">
        <v>321</v>
      </c>
      <c r="W108" s="26"/>
      <c r="X108" s="26"/>
      <c r="Y108" s="26"/>
      <c r="Z108" s="26"/>
    </row>
    <row r="109" ht="6.75" customHeight="1">
      <c r="A109" s="26"/>
      <c r="B109" s="26"/>
      <c r="C109" s="26"/>
      <c r="D109" s="30"/>
      <c r="E109" s="26"/>
      <c r="F109" s="38"/>
      <c r="G109" s="26"/>
      <c r="H109" s="30"/>
      <c r="I109" s="31"/>
      <c r="J109" s="26"/>
      <c r="K109" s="26"/>
      <c r="L109" s="26"/>
      <c r="M109" s="26"/>
      <c r="N109" s="26"/>
      <c r="O109" s="26"/>
      <c r="P109" s="36" t="str">
        <f>"R102="&amp;TEXT(ROUND('防禦合併'!J103,3),"0.0%")&amp;" ~ "&amp;TEXT(ROUND('防禦合併'!K103,3),"0.0%")</f>
        <v>R102=19.2% ~ 26.9%</v>
      </c>
      <c r="Q109" s="11"/>
      <c r="R109" s="30"/>
      <c r="S109" s="26"/>
      <c r="T109" s="26"/>
      <c r="U109" s="36" t="str">
        <f>"R109="&amp;TEXT(ROUND('防禦合併'!J110,3),"0.0%")&amp;" ~ "&amp;TEXT(ROUND('防禦合併'!K110,3),"0.0%")</f>
        <v>R109=49.9% ~ 54.7%</v>
      </c>
      <c r="V109" s="28" t="str">
        <f>"P(54)="&amp;'IN-案件機率總表'!B55</f>
        <v>P(54)=0.001%</v>
      </c>
      <c r="W109" s="26"/>
      <c r="X109" s="26"/>
      <c r="Y109" s="26"/>
      <c r="Z109" s="26"/>
    </row>
    <row r="110" ht="6.75" customHeight="1">
      <c r="A110" s="26"/>
      <c r="B110" s="26"/>
      <c r="C110" s="26"/>
      <c r="D110" s="30"/>
      <c r="E110" s="26"/>
      <c r="F110" s="30"/>
      <c r="G110" s="26"/>
      <c r="H110" s="34" t="s">
        <v>661</v>
      </c>
      <c r="I110" s="8"/>
      <c r="J110" s="26"/>
      <c r="K110" s="26"/>
      <c r="L110" s="26"/>
      <c r="M110" s="26"/>
      <c r="N110" s="26"/>
      <c r="O110" s="26"/>
      <c r="P110" s="26"/>
      <c r="Q110" s="26"/>
      <c r="R110" s="30"/>
      <c r="S110" s="26"/>
      <c r="T110" s="26"/>
      <c r="U110" s="26"/>
      <c r="V110" s="26"/>
      <c r="W110" s="26"/>
      <c r="X110" s="26"/>
      <c r="Y110" s="26"/>
      <c r="Z110" s="26"/>
    </row>
    <row r="111" ht="6.75" customHeight="1">
      <c r="A111" s="26"/>
      <c r="B111" s="26"/>
      <c r="C111" s="26"/>
      <c r="D111" s="30"/>
      <c r="E111" s="26"/>
      <c r="F111" s="30"/>
      <c r="G111" s="26"/>
      <c r="H111" s="36" t="str">
        <f>"R095="&amp;TEXT(ROUND('防禦合併'!J96,3),"0.0%")&amp;" ~ "&amp;TEXT(ROUND('防禦合併'!K96,3),"0.0%")</f>
        <v>R095=16.8% ~ 24.8%</v>
      </c>
      <c r="I111" s="11"/>
      <c r="J111" s="26"/>
      <c r="K111" s="26"/>
      <c r="L111" s="26"/>
      <c r="M111" s="26"/>
      <c r="N111" s="26"/>
      <c r="O111" s="26"/>
      <c r="P111" s="26"/>
      <c r="Q111" s="26"/>
      <c r="R111" s="30"/>
      <c r="S111" s="26"/>
      <c r="T111" s="26"/>
      <c r="U111" s="27" t="s">
        <v>662</v>
      </c>
      <c r="V111" s="28" t="s">
        <v>328</v>
      </c>
      <c r="W111" s="26"/>
      <c r="X111" s="26"/>
      <c r="Y111" s="26"/>
      <c r="Z111" s="26"/>
    </row>
    <row r="112" ht="6.75" customHeight="1">
      <c r="A112" s="26"/>
      <c r="B112" s="26"/>
      <c r="C112" s="26"/>
      <c r="D112" s="30"/>
      <c r="E112" s="26"/>
      <c r="F112" s="30"/>
      <c r="G112" s="26"/>
      <c r="H112" s="26"/>
      <c r="I112" s="31"/>
      <c r="J112" s="26"/>
      <c r="K112" s="26"/>
      <c r="L112" s="26"/>
      <c r="M112" s="26"/>
      <c r="N112" s="26"/>
      <c r="O112" s="26"/>
      <c r="P112" s="26"/>
      <c r="Q112" s="26"/>
      <c r="R112" s="30"/>
      <c r="S112" s="26"/>
      <c r="T112" s="27" t="s">
        <v>663</v>
      </c>
      <c r="U112" s="29" t="str">
        <f>"R112="&amp;TEXT(ROUND('防禦合併'!J113,3),"0.0%")&amp;" ~ "&amp;TEXT(ROUND('防禦合併'!K113,3),"0.0%")</f>
        <v>R112=56.6% ~ 62.6%</v>
      </c>
      <c r="V112" s="28" t="str">
        <f>"P(55)="&amp;'IN-案件機率總表'!B56</f>
        <v>P(55)=0.003%</v>
      </c>
      <c r="W112" s="26"/>
      <c r="X112" s="26"/>
      <c r="Y112" s="26"/>
      <c r="Z112" s="26"/>
    </row>
    <row r="113" ht="6.75" customHeight="1">
      <c r="A113" s="26"/>
      <c r="B113" s="26"/>
      <c r="C113" s="26"/>
      <c r="D113" s="30"/>
      <c r="E113" s="26"/>
      <c r="F113" s="30"/>
      <c r="G113" s="26"/>
      <c r="H113" s="26"/>
      <c r="I113" s="31"/>
      <c r="J113" s="26"/>
      <c r="K113" s="26"/>
      <c r="L113" s="26"/>
      <c r="M113" s="26"/>
      <c r="N113" s="26"/>
      <c r="O113" s="26"/>
      <c r="P113" s="26"/>
      <c r="Q113" s="26"/>
      <c r="R113" s="30"/>
      <c r="S113" s="26"/>
      <c r="T113" s="29" t="str">
        <f>"R111="&amp;TEXT(ROUND('防禦合併'!J112,3),"0.0%")&amp;" ~ "&amp;TEXT(ROUND('防禦合併'!K112,3),"0.0%")</f>
        <v>R111=53.7% ~ 59.4%</v>
      </c>
      <c r="U113" s="33"/>
      <c r="V113" s="26"/>
      <c r="W113" s="26"/>
      <c r="X113" s="26"/>
      <c r="Y113" s="26"/>
      <c r="Z113" s="26"/>
    </row>
    <row r="114" ht="6.75" customHeight="1">
      <c r="A114" s="26"/>
      <c r="B114" s="26"/>
      <c r="C114" s="26"/>
      <c r="D114" s="30"/>
      <c r="E114" s="26"/>
      <c r="F114" s="30"/>
      <c r="G114" s="26"/>
      <c r="H114" s="26"/>
      <c r="I114" s="31"/>
      <c r="J114" s="26"/>
      <c r="K114" s="26"/>
      <c r="L114" s="26"/>
      <c r="M114" s="26"/>
      <c r="N114" s="26"/>
      <c r="O114" s="26"/>
      <c r="P114" s="26"/>
      <c r="Q114" s="31"/>
      <c r="R114" s="26"/>
      <c r="S114" s="31"/>
      <c r="T114" s="26"/>
      <c r="U114" s="34" t="s">
        <v>664</v>
      </c>
      <c r="V114" s="28" t="s">
        <v>334</v>
      </c>
      <c r="W114" s="26"/>
      <c r="X114" s="26"/>
      <c r="Y114" s="26"/>
      <c r="Z114" s="26"/>
    </row>
    <row r="115" ht="6.75" customHeight="1">
      <c r="A115" s="26"/>
      <c r="B115" s="26"/>
      <c r="C115" s="26"/>
      <c r="D115" s="30"/>
      <c r="E115" s="26"/>
      <c r="F115" s="30"/>
      <c r="G115" s="26"/>
      <c r="H115" s="26"/>
      <c r="I115" s="31"/>
      <c r="J115" s="26"/>
      <c r="K115" s="26"/>
      <c r="L115" s="26"/>
      <c r="M115" s="26"/>
      <c r="N115" s="26"/>
      <c r="O115" s="26"/>
      <c r="P115" s="26"/>
      <c r="Q115" s="26"/>
      <c r="R115" s="34" t="s">
        <v>665</v>
      </c>
      <c r="S115" s="8"/>
      <c r="T115" s="30"/>
      <c r="U115" s="36" t="str">
        <f>"R113="&amp;TEXT(ROUND('防禦合併'!J114,3),"0.0%")&amp;" ~ "&amp;TEXT(ROUND('防禦合併'!K114,3),"0.0%")</f>
        <v>R113=37.4% ~ 43.4%</v>
      </c>
      <c r="V115" s="28" t="str">
        <f>"P(56)="&amp;'IN-案件機率總表'!B57</f>
        <v>P(56)=0.002%</v>
      </c>
      <c r="W115" s="26"/>
      <c r="X115" s="26"/>
      <c r="Y115" s="26"/>
      <c r="Z115" s="26"/>
    </row>
    <row r="116" ht="6.75" customHeight="1">
      <c r="A116" s="26"/>
      <c r="B116" s="26"/>
      <c r="C116" s="26"/>
      <c r="D116" s="30"/>
      <c r="E116" s="26"/>
      <c r="F116" s="30"/>
      <c r="G116" s="26"/>
      <c r="H116" s="26"/>
      <c r="I116" s="31"/>
      <c r="J116" s="26"/>
      <c r="K116" s="26"/>
      <c r="L116" s="26"/>
      <c r="M116" s="26"/>
      <c r="N116" s="26"/>
      <c r="O116" s="26"/>
      <c r="P116" s="26"/>
      <c r="Q116" s="26"/>
      <c r="R116" s="36" t="str">
        <f>"R110="&amp;TEXT(ROUND('防禦合併'!J111,3),"0.0%")&amp;" ~ "&amp;TEXT(ROUND('防禦合併'!K111,3),"0.0%")</f>
        <v>R110=45.6% ~ 50.8%</v>
      </c>
      <c r="S116" s="11"/>
      <c r="T116" s="30"/>
      <c r="U116" s="26"/>
      <c r="V116" s="26"/>
      <c r="W116" s="26"/>
      <c r="X116" s="26"/>
      <c r="Y116" s="26"/>
      <c r="Z116" s="26"/>
    </row>
    <row r="117" ht="6.75" customHeight="1">
      <c r="A117" s="26"/>
      <c r="B117" s="26"/>
      <c r="C117" s="26"/>
      <c r="D117" s="30"/>
      <c r="E117" s="26"/>
      <c r="F117" s="30"/>
      <c r="G117" s="26"/>
      <c r="H117" s="26"/>
      <c r="I117" s="31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30"/>
      <c r="U117" s="27" t="s">
        <v>666</v>
      </c>
      <c r="V117" s="28" t="s">
        <v>340</v>
      </c>
      <c r="W117" s="26"/>
      <c r="X117" s="26"/>
      <c r="Y117" s="26"/>
      <c r="Z117" s="26"/>
    </row>
    <row r="118" ht="6.75" customHeight="1">
      <c r="A118" s="26"/>
      <c r="B118" s="26"/>
      <c r="C118" s="26"/>
      <c r="D118" s="30"/>
      <c r="E118" s="26"/>
      <c r="F118" s="30"/>
      <c r="G118" s="26"/>
      <c r="H118" s="26"/>
      <c r="I118" s="31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30"/>
      <c r="U118" s="29" t="str">
        <f>"R115="&amp;TEXT(ROUND('防禦合併'!J116,3),"0.0%")&amp;" ~ "&amp;TEXT(ROUND('防禦合併'!K116,3),"0.0%")</f>
        <v>R115=45.3% ~ 50.1%</v>
      </c>
      <c r="V118" s="28" t="str">
        <f>"P(57)="&amp;'IN-案件機率總表'!B58</f>
        <v>P(57)=0.002%</v>
      </c>
      <c r="W118" s="26"/>
      <c r="X118" s="26"/>
      <c r="Y118" s="26"/>
      <c r="Z118" s="26"/>
    </row>
    <row r="119" ht="6.75" customHeight="1">
      <c r="A119" s="26"/>
      <c r="B119" s="26"/>
      <c r="C119" s="26"/>
      <c r="D119" s="30"/>
      <c r="E119" s="26"/>
      <c r="F119" s="30"/>
      <c r="G119" s="26"/>
      <c r="H119" s="26"/>
      <c r="I119" s="31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34" t="s">
        <v>667</v>
      </c>
      <c r="U119" s="33"/>
      <c r="V119" s="26"/>
      <c r="W119" s="26"/>
      <c r="X119" s="26"/>
      <c r="Y119" s="26"/>
      <c r="Z119" s="26"/>
    </row>
    <row r="120" ht="6.75" customHeight="1">
      <c r="A120" s="26"/>
      <c r="B120" s="26"/>
      <c r="C120" s="26"/>
      <c r="D120" s="30"/>
      <c r="E120" s="26"/>
      <c r="F120" s="30"/>
      <c r="G120" s="26"/>
      <c r="H120" s="26"/>
      <c r="I120" s="31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36" t="str">
        <f>"R114="&amp;TEXT(ROUND('防禦合併'!J115,3),"0.0%")&amp;" ~ "&amp;TEXT(ROUND('防禦合併'!K115,3),"0.0%")</f>
        <v>R114=40.6% ~ 46.3%</v>
      </c>
      <c r="U120" s="34" t="s">
        <v>668</v>
      </c>
      <c r="V120" s="28" t="s">
        <v>346</v>
      </c>
      <c r="W120" s="26"/>
      <c r="X120" s="26"/>
      <c r="Y120" s="26"/>
      <c r="Z120" s="26"/>
    </row>
    <row r="121" ht="6.75" customHeight="1">
      <c r="A121" s="26"/>
      <c r="B121" s="26"/>
      <c r="C121" s="26"/>
      <c r="D121" s="30"/>
      <c r="E121" s="26"/>
      <c r="F121" s="30"/>
      <c r="G121" s="26"/>
      <c r="H121" s="26"/>
      <c r="I121" s="31"/>
      <c r="J121" s="26"/>
      <c r="K121" s="26"/>
      <c r="L121" s="27" t="s">
        <v>669</v>
      </c>
      <c r="M121" s="3"/>
      <c r="N121" s="28" t="s">
        <v>348</v>
      </c>
      <c r="O121" s="26"/>
      <c r="P121" s="26"/>
      <c r="Q121" s="26"/>
      <c r="R121" s="26"/>
      <c r="S121" s="26"/>
      <c r="T121" s="26"/>
      <c r="U121" s="36" t="str">
        <f>"R116="&amp;TEXT(ROUND('防禦合併'!J117,3),"0.0%")&amp;" ~ "&amp;TEXT(ROUND('防禦合併'!K117,3),"0.0%")</f>
        <v>R116=49.9% ~ 54.7%</v>
      </c>
      <c r="V121" s="28" t="str">
        <f>"P(58)="&amp;'IN-案件機率總表'!B59</f>
        <v>P(58)=0.002%</v>
      </c>
      <c r="W121" s="26"/>
      <c r="X121" s="26"/>
      <c r="Y121" s="26"/>
      <c r="Z121" s="26"/>
    </row>
    <row r="122" ht="6.75" customHeight="1">
      <c r="A122" s="26"/>
      <c r="B122" s="26"/>
      <c r="C122" s="26"/>
      <c r="D122" s="30"/>
      <c r="E122" s="26"/>
      <c r="F122" s="30"/>
      <c r="G122" s="26"/>
      <c r="H122" s="26"/>
      <c r="I122" s="31"/>
      <c r="J122" s="26"/>
      <c r="K122" s="26"/>
      <c r="L122" s="29" t="str">
        <f>"R118="&amp;TEXT(ROUND('防禦合併'!J119,3),"0.0%")&amp;" ~ "&amp;TEXT(ROUND('防禦合併'!K119,3),"0.0%")</f>
        <v>R118=61.1% ~ 67.5%</v>
      </c>
      <c r="M122" s="6"/>
      <c r="N122" s="28" t="str">
        <f>"P(59)="&amp;'IN-案件機率總表'!B60</f>
        <v>P(59)=1.326%</v>
      </c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ht="6.75" customHeight="1">
      <c r="A123" s="26"/>
      <c r="B123" s="26"/>
      <c r="C123" s="26"/>
      <c r="D123" s="30"/>
      <c r="E123" s="26"/>
      <c r="F123" s="30"/>
      <c r="G123" s="26"/>
      <c r="H123" s="26"/>
      <c r="I123" s="31"/>
      <c r="J123" s="39" t="s">
        <v>670</v>
      </c>
      <c r="K123" s="8"/>
      <c r="L123" s="30"/>
      <c r="M123" s="26"/>
      <c r="N123" s="27" t="s">
        <v>671</v>
      </c>
      <c r="O123" s="3"/>
      <c r="P123" s="28" t="s">
        <v>355</v>
      </c>
      <c r="Q123" s="26"/>
      <c r="R123" s="26"/>
      <c r="S123" s="26"/>
      <c r="T123" s="26"/>
      <c r="U123" s="27" t="s">
        <v>672</v>
      </c>
      <c r="V123" s="28" t="s">
        <v>357</v>
      </c>
      <c r="W123" s="26"/>
      <c r="X123" s="26"/>
      <c r="Y123" s="26"/>
      <c r="Z123" s="26"/>
    </row>
    <row r="124" ht="6.75" customHeight="1">
      <c r="A124" s="26"/>
      <c r="B124" s="26"/>
      <c r="C124" s="26"/>
      <c r="D124" s="30"/>
      <c r="E124" s="26"/>
      <c r="F124" s="30"/>
      <c r="G124" s="26"/>
      <c r="H124" s="26"/>
      <c r="I124" s="26"/>
      <c r="J124" s="36" t="str">
        <f>"R117="&amp;TEXT(ROUND('防禦合併'!J118,3),"0.0%")&amp;" ~ "&amp;TEXT(ROUND('防禦合併'!K118,3),"0.0%")</f>
        <v>R117=72.4% ~ 75.0%</v>
      </c>
      <c r="K124" s="11"/>
      <c r="L124" s="30"/>
      <c r="M124" s="26"/>
      <c r="N124" s="29" t="str">
        <f>"R120="&amp;TEXT(ROUND('防禦合併'!J121,3),"0.0%")&amp;" ~ "&amp;TEXT(ROUND('防禦合併'!K121,3),"0.0%")</f>
        <v>R120=70.0% ~ 77.3%</v>
      </c>
      <c r="O124" s="6"/>
      <c r="P124" s="28" t="str">
        <f>"P(60)="&amp;'IN-案件機率總表'!B61</f>
        <v>P(60)=0.537%</v>
      </c>
      <c r="Q124" s="26"/>
      <c r="R124" s="26"/>
      <c r="S124" s="26"/>
      <c r="T124" s="27" t="s">
        <v>673</v>
      </c>
      <c r="U124" s="29" t="str">
        <f>"R126="&amp;TEXT(ROUND('防禦合併'!J127,3),"0.0%")&amp;" ~ "&amp;TEXT(ROUND('防禦合併'!K127,3),"0.0%")</f>
        <v>R126=56.6% ~ 62.6%</v>
      </c>
      <c r="V124" s="28" t="str">
        <f>"P(62)="&amp;'IN-案件機率總表'!B63</f>
        <v>P(62)=0.005%</v>
      </c>
      <c r="W124" s="26"/>
      <c r="X124" s="26"/>
      <c r="Y124" s="26"/>
      <c r="Z124" s="26"/>
    </row>
    <row r="125" ht="6.75" customHeight="1">
      <c r="A125" s="26"/>
      <c r="B125" s="26"/>
      <c r="C125" s="26"/>
      <c r="D125" s="30"/>
      <c r="E125" s="26"/>
      <c r="F125" s="30"/>
      <c r="G125" s="26"/>
      <c r="H125" s="26"/>
      <c r="I125" s="26"/>
      <c r="J125" s="26"/>
      <c r="K125" s="31"/>
      <c r="L125" s="34" t="s">
        <v>674</v>
      </c>
      <c r="M125" s="8"/>
      <c r="N125" s="30"/>
      <c r="O125" s="26"/>
      <c r="P125" s="27" t="s">
        <v>675</v>
      </c>
      <c r="Q125" s="3"/>
      <c r="R125" s="28" t="s">
        <v>366</v>
      </c>
      <c r="S125" s="26"/>
      <c r="T125" s="29" t="str">
        <f>"R125="&amp;TEXT(ROUND('防禦合併'!J126,3),"0.0%")&amp;" ~ "&amp;TEXT(ROUND('防禦合併'!K126,3),"0.0%")</f>
        <v>R125=63.2% ~ 69.9%</v>
      </c>
      <c r="U125" s="33"/>
      <c r="V125" s="26"/>
      <c r="W125" s="26"/>
      <c r="X125" s="26"/>
      <c r="Y125" s="26"/>
      <c r="Z125" s="26"/>
    </row>
    <row r="126" ht="6.75" customHeight="1">
      <c r="A126" s="26"/>
      <c r="B126" s="26"/>
      <c r="C126" s="26"/>
      <c r="D126" s="34" t="s">
        <v>676</v>
      </c>
      <c r="E126" s="8"/>
      <c r="F126" s="30"/>
      <c r="G126" s="26"/>
      <c r="H126" s="26"/>
      <c r="I126" s="26"/>
      <c r="J126" s="26"/>
      <c r="K126" s="26"/>
      <c r="L126" s="36" t="str">
        <f>"R119="&amp;TEXT(ROUND('防禦合併'!J120,3),"0.0%")&amp;" ~ "&amp;TEXT(ROUND('防禦合併'!K120,3),"0.0%")</f>
        <v>R119=32.5% ~ 38.9%</v>
      </c>
      <c r="M126" s="11"/>
      <c r="N126" s="30"/>
      <c r="O126" s="26"/>
      <c r="P126" s="29" t="str">
        <f>"R122="&amp;TEXT(ROUND('防禦合併'!J123,3),"0.0%")&amp;" ~ "&amp;TEXT(ROUND('防禦合併'!K123,3),"0.0%")</f>
        <v>R122=73.1% ~ 80.8%</v>
      </c>
      <c r="Q126" s="6"/>
      <c r="R126" s="28" t="str">
        <f>"P(61)="&amp;'IN-案件機率總表'!B62</f>
        <v>P(61)=0.146%</v>
      </c>
      <c r="S126" s="31"/>
      <c r="T126" s="26"/>
      <c r="U126" s="34" t="s">
        <v>677</v>
      </c>
      <c r="V126" s="28" t="s">
        <v>373</v>
      </c>
      <c r="W126" s="26"/>
      <c r="X126" s="26"/>
      <c r="Y126" s="26"/>
      <c r="Z126" s="26"/>
    </row>
    <row r="127" ht="6.75" customHeight="1">
      <c r="A127" s="26"/>
      <c r="B127" s="26"/>
      <c r="C127" s="26"/>
      <c r="D127" s="36" t="str">
        <f>"R092="&amp;TEXT(ROUND('防禦合併'!J93,3),"0.0%")&amp;" ~ "&amp;TEXT(ROUND('防禦合併'!K93,3),"0.0%")</f>
        <v>R092=33.8% ~ 40.1%</v>
      </c>
      <c r="E127" s="11"/>
      <c r="F127" s="30"/>
      <c r="G127" s="26"/>
      <c r="H127" s="26"/>
      <c r="I127" s="26"/>
      <c r="J127" s="26"/>
      <c r="K127" s="26"/>
      <c r="L127" s="26"/>
      <c r="M127" s="31"/>
      <c r="N127" s="26"/>
      <c r="O127" s="26"/>
      <c r="P127" s="30"/>
      <c r="Q127" s="26"/>
      <c r="R127" s="27" t="s">
        <v>678</v>
      </c>
      <c r="S127" s="8"/>
      <c r="T127" s="30"/>
      <c r="U127" s="36" t="str">
        <f>"R127="&amp;TEXT(ROUND('防禦合併'!J128,3),"0.0%")&amp;" ~ "&amp;TEXT(ROUND('防禦合併'!K128,3),"0.0%")</f>
        <v>R127=37.4% ~ 43.4%</v>
      </c>
      <c r="V127" s="28" t="str">
        <f>"P(63)="&amp;'IN-案件機率總表'!B64</f>
        <v>P(63)=0.003%</v>
      </c>
      <c r="W127" s="26"/>
      <c r="X127" s="26"/>
      <c r="Y127" s="26"/>
      <c r="Z127" s="26"/>
    </row>
    <row r="128" ht="6.75" customHeight="1">
      <c r="A128" s="26"/>
      <c r="B128" s="26"/>
      <c r="C128" s="26"/>
      <c r="D128" s="26"/>
      <c r="E128" s="26"/>
      <c r="F128" s="30"/>
      <c r="G128" s="26"/>
      <c r="H128" s="26"/>
      <c r="I128" s="26"/>
      <c r="J128" s="26"/>
      <c r="K128" s="26"/>
      <c r="L128" s="26"/>
      <c r="M128" s="26"/>
      <c r="N128" s="34" t="s">
        <v>679</v>
      </c>
      <c r="O128" s="8"/>
      <c r="P128" s="30"/>
      <c r="Q128" s="26"/>
      <c r="R128" s="29" t="str">
        <f>"R124="&amp;TEXT(ROUND('防禦合併'!J125,3),"0.0%")&amp;" ~ "&amp;TEXT(ROUND('防禦合併'!K125,3),"0.0%")</f>
        <v>R124=24.6% ~ 27.2%</v>
      </c>
      <c r="S128" s="11"/>
      <c r="T128" s="30"/>
      <c r="U128" s="26"/>
      <c r="V128" s="26"/>
      <c r="W128" s="26"/>
      <c r="X128" s="26"/>
      <c r="Y128" s="26"/>
      <c r="Z128" s="26"/>
    </row>
    <row r="129" ht="6.75" customHeight="1">
      <c r="A129" s="26"/>
      <c r="B129" s="26"/>
      <c r="C129" s="26"/>
      <c r="D129" s="26"/>
      <c r="E129" s="26"/>
      <c r="F129" s="30"/>
      <c r="G129" s="26"/>
      <c r="H129" s="26"/>
      <c r="I129" s="26"/>
      <c r="J129" s="26"/>
      <c r="K129" s="26"/>
      <c r="L129" s="26"/>
      <c r="M129" s="26"/>
      <c r="N129" s="36" t="str">
        <f>"R121="&amp;TEXT(ROUND('防禦合併'!J122,3),"0.0%")&amp;" ~ "&amp;TEXT(ROUND('防禦合併'!K122,3),"0.0%")</f>
        <v>R121=22.7% ~ 30.0%</v>
      </c>
      <c r="O129" s="11"/>
      <c r="P129" s="30"/>
      <c r="Q129" s="26"/>
      <c r="R129" s="30"/>
      <c r="S129" s="26"/>
      <c r="T129" s="30"/>
      <c r="U129" s="27" t="s">
        <v>680</v>
      </c>
      <c r="V129" s="28" t="s">
        <v>382</v>
      </c>
      <c r="W129" s="26"/>
      <c r="X129" s="26"/>
      <c r="Y129" s="26"/>
      <c r="Z129" s="26"/>
    </row>
    <row r="130" ht="6.75" customHeight="1">
      <c r="A130" s="26"/>
      <c r="B130" s="26"/>
      <c r="C130" s="26"/>
      <c r="D130" s="26"/>
      <c r="E130" s="26"/>
      <c r="F130" s="30"/>
      <c r="G130" s="26"/>
      <c r="H130" s="26"/>
      <c r="I130" s="26"/>
      <c r="J130" s="26"/>
      <c r="K130" s="26"/>
      <c r="L130" s="26"/>
      <c r="M130" s="26"/>
      <c r="N130" s="26"/>
      <c r="O130" s="26"/>
      <c r="P130" s="30"/>
      <c r="Q130" s="26"/>
      <c r="R130" s="30"/>
      <c r="S130" s="26"/>
      <c r="T130" s="30"/>
      <c r="U130" s="29" t="str">
        <f>"R129="&amp;TEXT(ROUND('防禦合併'!J130,3),"0.0%")&amp;" ~ "&amp;TEXT(ROUND('防禦合併'!K130,3),"0.0%")</f>
        <v>R129=45.3% ~ 50.1%</v>
      </c>
      <c r="V130" s="28" t="str">
        <f>"P(64)="&amp;'IN-案件機率總表'!B65</f>
        <v>P(64)=0.002%</v>
      </c>
      <c r="W130" s="26"/>
      <c r="X130" s="26"/>
      <c r="Y130" s="26"/>
      <c r="Z130" s="26"/>
    </row>
    <row r="131" ht="6.75" customHeight="1">
      <c r="A131" s="26"/>
      <c r="B131" s="26"/>
      <c r="C131" s="26"/>
      <c r="D131" s="26"/>
      <c r="E131" s="26"/>
      <c r="F131" s="30"/>
      <c r="G131" s="26"/>
      <c r="H131" s="26"/>
      <c r="I131" s="26"/>
      <c r="J131" s="26"/>
      <c r="K131" s="26"/>
      <c r="L131" s="26"/>
      <c r="M131" s="26"/>
      <c r="N131" s="26"/>
      <c r="O131" s="26"/>
      <c r="P131" s="30"/>
      <c r="Q131" s="26"/>
      <c r="R131" s="30"/>
      <c r="S131" s="26"/>
      <c r="T131" s="34" t="s">
        <v>681</v>
      </c>
      <c r="U131" s="33"/>
      <c r="V131" s="26"/>
      <c r="W131" s="26"/>
      <c r="X131" s="26"/>
      <c r="Y131" s="26"/>
      <c r="Z131" s="26"/>
    </row>
    <row r="132" ht="6.75" customHeight="1">
      <c r="A132" s="26"/>
      <c r="B132" s="26"/>
      <c r="C132" s="26"/>
      <c r="D132" s="26"/>
      <c r="E132" s="26"/>
      <c r="F132" s="30"/>
      <c r="G132" s="26"/>
      <c r="H132" s="26"/>
      <c r="I132" s="26"/>
      <c r="J132" s="26"/>
      <c r="K132" s="26"/>
      <c r="L132" s="26"/>
      <c r="M132" s="26"/>
      <c r="N132" s="26"/>
      <c r="O132" s="26"/>
      <c r="P132" s="34" t="s">
        <v>682</v>
      </c>
      <c r="Q132" s="8"/>
      <c r="R132" s="30"/>
      <c r="S132" s="26"/>
      <c r="T132" s="36" t="str">
        <f>"R128="&amp;TEXT(ROUND('防禦合併'!J129,3),"0.0%")&amp;" ~ "&amp;TEXT(ROUND('防禦合併'!K129,3),"0.0%")</f>
        <v>R128=30.1% ~ 36.8%</v>
      </c>
      <c r="U132" s="34" t="s">
        <v>683</v>
      </c>
      <c r="V132" s="28" t="s">
        <v>389</v>
      </c>
      <c r="W132" s="26"/>
      <c r="X132" s="26"/>
      <c r="Y132" s="26"/>
      <c r="Z132" s="26"/>
    </row>
    <row r="133" ht="6.75" customHeight="1">
      <c r="A133" s="26"/>
      <c r="B133" s="26"/>
      <c r="C133" s="26"/>
      <c r="D133" s="26"/>
      <c r="E133" s="26"/>
      <c r="F133" s="30"/>
      <c r="G133" s="26"/>
      <c r="H133" s="26"/>
      <c r="I133" s="26"/>
      <c r="J133" s="26"/>
      <c r="K133" s="26"/>
      <c r="L133" s="26"/>
      <c r="M133" s="26"/>
      <c r="N133" s="26"/>
      <c r="O133" s="26"/>
      <c r="P133" s="36" t="str">
        <f>"R123="&amp;TEXT(ROUND('防禦合併'!J124,3),"0.0%")&amp;" ~ "&amp;TEXT(ROUND('防禦合併'!K124,3),"0.0%")</f>
        <v>R123=19.2% ~ 26.9%</v>
      </c>
      <c r="Q133" s="11"/>
      <c r="R133" s="30"/>
      <c r="S133" s="26"/>
      <c r="T133" s="26"/>
      <c r="U133" s="36" t="str">
        <f>"R130="&amp;TEXT(ROUND('防禦合併'!J131,3),"0.0%")&amp;" ~ "&amp;TEXT(ROUND('防禦合併'!K131,3),"0.0%")</f>
        <v>R130=49.9% ~ 54.7%</v>
      </c>
      <c r="V133" s="28" t="str">
        <f>"P(65)="&amp;'IN-案件機率總表'!B66</f>
        <v>P(65)=0.002%</v>
      </c>
      <c r="W133" s="26"/>
      <c r="X133" s="26"/>
      <c r="Y133" s="26"/>
      <c r="Z133" s="26"/>
    </row>
    <row r="134" ht="6.75" customHeight="1">
      <c r="A134" s="26"/>
      <c r="B134" s="26"/>
      <c r="C134" s="26"/>
      <c r="D134" s="26"/>
      <c r="E134" s="26"/>
      <c r="F134" s="30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30"/>
      <c r="S134" s="26"/>
      <c r="T134" s="26"/>
      <c r="U134" s="26"/>
      <c r="V134" s="26"/>
      <c r="W134" s="26"/>
      <c r="X134" s="26"/>
      <c r="Y134" s="26"/>
      <c r="Z134" s="26"/>
    </row>
    <row r="135" ht="6.75" customHeight="1">
      <c r="A135" s="26"/>
      <c r="B135" s="26"/>
      <c r="C135" s="26"/>
      <c r="D135" s="26"/>
      <c r="E135" s="26"/>
      <c r="F135" s="30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30"/>
      <c r="S135" s="26"/>
      <c r="T135" s="26"/>
      <c r="U135" s="27" t="s">
        <v>684</v>
      </c>
      <c r="V135" s="28" t="s">
        <v>394</v>
      </c>
      <c r="W135" s="26"/>
      <c r="X135" s="26"/>
      <c r="Y135" s="26"/>
      <c r="Z135" s="26"/>
    </row>
    <row r="136" ht="6.75" customHeight="1">
      <c r="A136" s="26"/>
      <c r="B136" s="26"/>
      <c r="C136" s="26"/>
      <c r="D136" s="26"/>
      <c r="E136" s="26"/>
      <c r="F136" s="30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30"/>
      <c r="S136" s="26"/>
      <c r="T136" s="27" t="s">
        <v>685</v>
      </c>
      <c r="U136" s="29" t="str">
        <f>"R133="&amp;TEXT(ROUND('防禦合併'!J134,3),"0.0%")&amp;" ~ "&amp;TEXT(ROUND('防禦合併'!K134,3),"0.0%")</f>
        <v>R133=56.6% ~ 62.6%</v>
      </c>
      <c r="V136" s="28" t="str">
        <f>"P(66)="&amp;'IN-案件機率總表'!B67</f>
        <v>P(66)=0.011%</v>
      </c>
      <c r="W136" s="26"/>
      <c r="X136" s="26"/>
      <c r="Y136" s="26"/>
      <c r="Z136" s="26"/>
    </row>
    <row r="137" ht="6.75" customHeight="1">
      <c r="A137" s="26"/>
      <c r="B137" s="26"/>
      <c r="C137" s="26"/>
      <c r="D137" s="26"/>
      <c r="E137" s="26"/>
      <c r="F137" s="30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30"/>
      <c r="S137" s="26"/>
      <c r="T137" s="29" t="str">
        <f>"R132="&amp;TEXT(ROUND('防禦合併'!J133,3),"0.0%")&amp;" ~ "&amp;TEXT(ROUND('防禦合併'!K133,3),"0.0%")</f>
        <v>R132=53.7% ~ 59.4%</v>
      </c>
      <c r="U137" s="33"/>
      <c r="V137" s="26"/>
      <c r="W137" s="26"/>
      <c r="X137" s="26"/>
      <c r="Y137" s="26"/>
      <c r="Z137" s="26"/>
    </row>
    <row r="138" ht="6.75" customHeight="1">
      <c r="A138" s="26"/>
      <c r="B138" s="26"/>
      <c r="C138" s="26"/>
      <c r="D138" s="26"/>
      <c r="E138" s="26"/>
      <c r="F138" s="30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30"/>
      <c r="S138" s="31"/>
      <c r="T138" s="26"/>
      <c r="U138" s="34" t="s">
        <v>686</v>
      </c>
      <c r="V138" s="28" t="s">
        <v>400</v>
      </c>
      <c r="W138" s="26"/>
      <c r="X138" s="26"/>
      <c r="Y138" s="26"/>
      <c r="Z138" s="26"/>
    </row>
    <row r="139" ht="6.75" customHeight="1">
      <c r="A139" s="26"/>
      <c r="B139" s="26"/>
      <c r="C139" s="26"/>
      <c r="D139" s="26"/>
      <c r="E139" s="26"/>
      <c r="F139" s="30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34" t="s">
        <v>687</v>
      </c>
      <c r="S139" s="8"/>
      <c r="T139" s="30"/>
      <c r="U139" s="36" t="str">
        <f>"R134="&amp;TEXT(ROUND('防禦合併'!J135,3),"0.0%")&amp;" ~ "&amp;TEXT(ROUND('防禦合併'!K135,3),"0.0%")</f>
        <v>R134=37.4% ~ 43.4%</v>
      </c>
      <c r="V139" s="28" t="str">
        <f>"P(67)="&amp;'IN-案件機率總表'!B68</f>
        <v>P(67)=0.007%</v>
      </c>
      <c r="W139" s="26"/>
      <c r="X139" s="26"/>
      <c r="Y139" s="26"/>
      <c r="Z139" s="26"/>
    </row>
    <row r="140" ht="6.75" customHeight="1">
      <c r="A140" s="26"/>
      <c r="B140" s="26"/>
      <c r="C140" s="26"/>
      <c r="D140" s="26"/>
      <c r="E140" s="26"/>
      <c r="F140" s="30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36" t="str">
        <f>"R131="&amp;TEXT(ROUND('防禦合併'!J132,3),"0.0%")&amp;" ~ "&amp;TEXT(ROUND('防禦合併'!K132,3),"0.0%")</f>
        <v>R131=72.8% ~ 75.4%</v>
      </c>
      <c r="S140" s="11"/>
      <c r="T140" s="30"/>
      <c r="U140" s="26"/>
      <c r="V140" s="26"/>
      <c r="W140" s="26"/>
      <c r="X140" s="26"/>
      <c r="Y140" s="26"/>
      <c r="Z140" s="26"/>
    </row>
    <row r="141" ht="6.75" customHeight="1">
      <c r="A141" s="26"/>
      <c r="B141" s="26"/>
      <c r="C141" s="26"/>
      <c r="D141" s="26"/>
      <c r="E141" s="26"/>
      <c r="F141" s="30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30"/>
      <c r="U141" s="27" t="s">
        <v>688</v>
      </c>
      <c r="V141" s="28" t="s">
        <v>406</v>
      </c>
      <c r="W141" s="26"/>
      <c r="X141" s="26"/>
      <c r="Y141" s="26"/>
      <c r="Z141" s="26"/>
    </row>
    <row r="142" ht="6.75" customHeight="1">
      <c r="A142" s="26"/>
      <c r="B142" s="26"/>
      <c r="C142" s="26"/>
      <c r="D142" s="26"/>
      <c r="E142" s="26"/>
      <c r="F142" s="30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30"/>
      <c r="U142" s="29" t="str">
        <f>"R136="&amp;TEXT(ROUND('防禦合併'!J137,3),"0.0%")&amp;" ~ "&amp;TEXT(ROUND('防禦合併'!K137,3),"0.0%")</f>
        <v>R136=45.3% ~ 50.1%</v>
      </c>
      <c r="V142" s="28" t="str">
        <f>"P(68)="&amp;'IN-案件機率總表'!B69</f>
        <v>P(68)=0.007%</v>
      </c>
      <c r="W142" s="26"/>
      <c r="X142" s="26"/>
      <c r="Y142" s="26"/>
      <c r="Z142" s="26"/>
    </row>
    <row r="143" ht="6.75" customHeight="1">
      <c r="A143" s="26"/>
      <c r="B143" s="26"/>
      <c r="C143" s="26"/>
      <c r="D143" s="26"/>
      <c r="E143" s="26"/>
      <c r="F143" s="30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34" t="s">
        <v>689</v>
      </c>
      <c r="U143" s="33"/>
      <c r="V143" s="26"/>
      <c r="W143" s="26"/>
      <c r="X143" s="26"/>
      <c r="Y143" s="26"/>
      <c r="Z143" s="26"/>
    </row>
    <row r="144" ht="6.75" customHeight="1">
      <c r="A144" s="26"/>
      <c r="B144" s="26"/>
      <c r="C144" s="26"/>
      <c r="D144" s="26"/>
      <c r="E144" s="26"/>
      <c r="F144" s="30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36" t="str">
        <f>"R135="&amp;TEXT(ROUND('防禦合併'!J136,3),"0.0%")&amp;" ~ "&amp;TEXT(ROUND('防禦合併'!K136,3),"0.0%")</f>
        <v>R135=40.6% ~ 46.3%</v>
      </c>
      <c r="U144" s="34" t="s">
        <v>690</v>
      </c>
      <c r="V144" s="28" t="s">
        <v>412</v>
      </c>
      <c r="W144" s="26"/>
      <c r="X144" s="26"/>
      <c r="Y144" s="26"/>
      <c r="Z144" s="26"/>
    </row>
    <row r="145" ht="6.75" customHeight="1">
      <c r="A145" s="26"/>
      <c r="B145" s="26"/>
      <c r="C145" s="26"/>
      <c r="D145" s="26"/>
      <c r="E145" s="26"/>
      <c r="F145" s="30"/>
      <c r="G145" s="26"/>
      <c r="H145" s="27" t="s">
        <v>691</v>
      </c>
      <c r="I145" s="3"/>
      <c r="J145" s="28" t="s">
        <v>414</v>
      </c>
      <c r="K145" s="26"/>
      <c r="L145" s="27" t="s">
        <v>692</v>
      </c>
      <c r="M145" s="3"/>
      <c r="N145" s="28" t="s">
        <v>416</v>
      </c>
      <c r="O145" s="26"/>
      <c r="P145" s="26"/>
      <c r="Q145" s="26"/>
      <c r="R145" s="26"/>
      <c r="S145" s="26"/>
      <c r="T145" s="26"/>
      <c r="U145" s="36" t="str">
        <f>"R137="&amp;TEXT(ROUND('防禦合併'!J138,3),"0.0%")&amp;" ~ "&amp;TEXT(ROUND('防禦合併'!K138,3),"0.0%")</f>
        <v>R137=49.9% ~ 54.7%</v>
      </c>
      <c r="V145" s="28" t="str">
        <f>"P(69)="&amp;'IN-案件機率總表'!B70</f>
        <v>P(69)=0.007%</v>
      </c>
      <c r="W145" s="26"/>
      <c r="X145" s="26"/>
      <c r="Y145" s="26"/>
      <c r="Z145" s="26"/>
    </row>
    <row r="146" ht="6.75" customHeight="1">
      <c r="A146" s="26"/>
      <c r="B146" s="26"/>
      <c r="C146" s="26"/>
      <c r="D146" s="26"/>
      <c r="E146" s="26"/>
      <c r="F146" s="30"/>
      <c r="G146" s="31"/>
      <c r="H146" s="32" t="str">
        <f>"R139="&amp;TEXT(ROUND('防禦合併'!J140,3),"0.0%")&amp;" ~ "&amp;TEXT(ROUND('防禦合併'!K140,3),"0.0%")</f>
        <v>R139=22.6% ~ 24.9%</v>
      </c>
      <c r="I146" s="6"/>
      <c r="J146" s="28" t="str">
        <f>"P(70)="&amp;'IN-案件機率總表'!B71</f>
        <v>P(70)=5.652%</v>
      </c>
      <c r="K146" s="26"/>
      <c r="L146" s="29" t="str">
        <f>"R142="&amp;TEXT(ROUND('防禦合併'!J143,3),"0.0%")&amp;" ~ "&amp;TEXT(ROUND('防禦合併'!K143,3),"0.0%")</f>
        <v>R142=61.1% ~ 67.5%</v>
      </c>
      <c r="M146" s="6"/>
      <c r="N146" s="28" t="str">
        <f>"P(71)="&amp;'IN-案件機率總表'!B72</f>
        <v>P(71)=2.419%</v>
      </c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ht="6.75" customHeight="1">
      <c r="A147" s="26"/>
      <c r="B147" s="26"/>
      <c r="C147" s="26"/>
      <c r="D147" s="26"/>
      <c r="E147" s="26"/>
      <c r="F147" s="30"/>
      <c r="G147" s="31"/>
      <c r="H147" s="26"/>
      <c r="I147" s="26"/>
      <c r="J147" s="27" t="s">
        <v>693</v>
      </c>
      <c r="K147" s="8"/>
      <c r="L147" s="30"/>
      <c r="M147" s="26"/>
      <c r="N147" s="27" t="s">
        <v>694</v>
      </c>
      <c r="O147" s="3"/>
      <c r="P147" s="28" t="s">
        <v>425</v>
      </c>
      <c r="Q147" s="26"/>
      <c r="R147" s="26"/>
      <c r="S147" s="26"/>
      <c r="T147" s="26"/>
      <c r="U147" s="27" t="s">
        <v>695</v>
      </c>
      <c r="V147" s="28" t="s">
        <v>427</v>
      </c>
      <c r="W147" s="26"/>
      <c r="X147" s="26"/>
      <c r="Y147" s="26"/>
      <c r="Z147" s="26"/>
    </row>
    <row r="148" ht="6.75" customHeight="1">
      <c r="A148" s="26"/>
      <c r="B148" s="26"/>
      <c r="C148" s="26"/>
      <c r="D148" s="26"/>
      <c r="E148" s="26"/>
      <c r="F148" s="30"/>
      <c r="G148" s="31"/>
      <c r="H148" s="26"/>
      <c r="I148" s="31"/>
      <c r="J148" s="32" t="str">
        <f>"R141="&amp;TEXT(ROUND('防禦合併'!J142,3),"0.0%")&amp;" ~ "&amp;TEXT(ROUND('防禦合併'!K142,3),"0.0%")</f>
        <v>R141=19.7% ~ 21.7%</v>
      </c>
      <c r="K148" s="11"/>
      <c r="L148" s="30"/>
      <c r="M148" s="26"/>
      <c r="N148" s="29" t="str">
        <f>"R144="&amp;TEXT(ROUND('防禦合併'!J145,3),"0.0%")&amp;" ~ "&amp;TEXT(ROUND('防禦合併'!K145,3),"0.0%")</f>
        <v>R144=70.0% ~ 77.3%</v>
      </c>
      <c r="O148" s="6"/>
      <c r="P148" s="28" t="str">
        <f>"P(72)="&amp;'IN-案件機率總表'!B73</f>
        <v>P(72)=0.984%</v>
      </c>
      <c r="Q148" s="26"/>
      <c r="R148" s="26"/>
      <c r="S148" s="26"/>
      <c r="T148" s="27" t="s">
        <v>696</v>
      </c>
      <c r="U148" s="29" t="str">
        <f>"R150="&amp;TEXT(ROUND('防禦合併'!J151,3),"0.0%")&amp;" ~ "&amp;TEXT(ROUND('防禦合併'!K151,3),"0.0%")</f>
        <v>R150=56.6% ~ 62.6%</v>
      </c>
      <c r="V148" s="28" t="str">
        <f>"P(74)="&amp;'IN-案件機率總表'!B75</f>
        <v>P(74)=0.017%</v>
      </c>
      <c r="W148" s="26"/>
      <c r="X148" s="26"/>
      <c r="Y148" s="26"/>
      <c r="Z148" s="26"/>
    </row>
    <row r="149" ht="6.75" customHeight="1">
      <c r="A149" s="26"/>
      <c r="B149" s="26"/>
      <c r="C149" s="26"/>
      <c r="D149" s="26"/>
      <c r="E149" s="26"/>
      <c r="F149" s="30"/>
      <c r="G149" s="31"/>
      <c r="H149" s="26"/>
      <c r="I149" s="31"/>
      <c r="J149" s="26"/>
      <c r="K149" s="31"/>
      <c r="L149" s="34" t="s">
        <v>697</v>
      </c>
      <c r="M149" s="8"/>
      <c r="N149" s="30"/>
      <c r="O149" s="26"/>
      <c r="P149" s="27" t="s">
        <v>698</v>
      </c>
      <c r="Q149" s="3"/>
      <c r="R149" s="28" t="s">
        <v>436</v>
      </c>
      <c r="S149" s="26"/>
      <c r="T149" s="29" t="str">
        <f>"R149="&amp;TEXT(ROUND('防禦合併'!J150,3),"0.0%")&amp;" ~ "&amp;TEXT(ROUND('防禦合併'!K150,3),"0.0%")</f>
        <v>R149=63.2% ~ 69.9%</v>
      </c>
      <c r="U149" s="33"/>
      <c r="V149" s="26"/>
      <c r="W149" s="26"/>
      <c r="X149" s="26"/>
      <c r="Y149" s="26"/>
      <c r="Z149" s="26"/>
    </row>
    <row r="150" ht="6.75" customHeight="1">
      <c r="A150" s="26"/>
      <c r="B150" s="26"/>
      <c r="C150" s="26"/>
      <c r="D150" s="26"/>
      <c r="E150" s="26"/>
      <c r="F150" s="30"/>
      <c r="G150" s="31"/>
      <c r="H150" s="26"/>
      <c r="I150" s="31"/>
      <c r="J150" s="26"/>
      <c r="K150" s="26"/>
      <c r="L150" s="36" t="str">
        <f>"R143="&amp;TEXT(ROUND('防禦合併'!J144,3),"0.0%")&amp;" ~ "&amp;TEXT(ROUND('防禦合併'!K144,3),"0.0%")</f>
        <v>R143=32.5% ~ 38.9%</v>
      </c>
      <c r="M150" s="11"/>
      <c r="N150" s="30"/>
      <c r="O150" s="26"/>
      <c r="P150" s="29" t="str">
        <f>"R146="&amp;TEXT(ROUND('防禦合併'!J147,3),"0.0%")&amp;" ~ "&amp;TEXT(ROUND('防禦合併'!K147,3),"0.0%")</f>
        <v>R146=73.1% ~ 80.8%</v>
      </c>
      <c r="Q150" s="6"/>
      <c r="R150" s="28" t="str">
        <f>"P(73)="&amp;'IN-案件機率總表'!B74</f>
        <v>P(73)=0.269%</v>
      </c>
      <c r="S150" s="31"/>
      <c r="T150" s="26"/>
      <c r="U150" s="34" t="s">
        <v>699</v>
      </c>
      <c r="V150" s="28" t="s">
        <v>442</v>
      </c>
      <c r="W150" s="26"/>
      <c r="X150" s="26"/>
      <c r="Y150" s="26"/>
      <c r="Z150" s="26"/>
    </row>
    <row r="151" ht="6.75" customHeight="1">
      <c r="A151" s="26"/>
      <c r="B151" s="26"/>
      <c r="C151" s="26"/>
      <c r="D151" s="26"/>
      <c r="E151" s="26"/>
      <c r="F151" s="34" t="s">
        <v>700</v>
      </c>
      <c r="G151" s="8"/>
      <c r="H151" s="26"/>
      <c r="I151" s="31"/>
      <c r="J151" s="26"/>
      <c r="K151" s="26"/>
      <c r="L151" s="26"/>
      <c r="M151" s="31"/>
      <c r="N151" s="26"/>
      <c r="O151" s="26"/>
      <c r="P151" s="30"/>
      <c r="Q151" s="26"/>
      <c r="R151" s="27" t="s">
        <v>701</v>
      </c>
      <c r="S151" s="8"/>
      <c r="T151" s="30"/>
      <c r="U151" s="36" t="str">
        <f>"R151="&amp;TEXT(ROUND('防禦合併'!J152,3),"0.0%")&amp;" ~ "&amp;TEXT(ROUND('防禦合併'!K152,3),"0.0%")</f>
        <v>R151=37.4% ~ 43.4%</v>
      </c>
      <c r="V151" s="28" t="str">
        <f>"P(75)="&amp;'IN-案件機率總表'!B76</f>
        <v>P(75)=0.011%</v>
      </c>
      <c r="W151" s="26"/>
      <c r="X151" s="26"/>
      <c r="Y151" s="26"/>
      <c r="Z151" s="26"/>
    </row>
    <row r="152" ht="6.75" customHeight="1">
      <c r="A152" s="26"/>
      <c r="B152" s="26"/>
      <c r="C152" s="26"/>
      <c r="D152" s="26"/>
      <c r="E152" s="26"/>
      <c r="F152" s="36" t="str">
        <f>"R138="&amp;TEXT(ROUND('防禦合併'!J139,3),"0.0%")&amp;" ~ "&amp;TEXT(ROUND('防禦合併'!K139,3),"0.0%")</f>
        <v>R138=62.4% ~ 66.0%</v>
      </c>
      <c r="G152" s="11"/>
      <c r="H152" s="26"/>
      <c r="I152" s="31"/>
      <c r="J152" s="26"/>
      <c r="K152" s="26"/>
      <c r="L152" s="26"/>
      <c r="M152" s="26"/>
      <c r="N152" s="34" t="s">
        <v>702</v>
      </c>
      <c r="O152" s="8"/>
      <c r="P152" s="30"/>
      <c r="Q152" s="26"/>
      <c r="R152" s="29" t="str">
        <f>"R148="&amp;TEXT(ROUND('防禦合併'!J149,3),"0.0%")&amp;" ~ "&amp;TEXT(ROUND('防禦合併'!K149,3),"0.0%")</f>
        <v>R148=49.2% ~ 54.4%</v>
      </c>
      <c r="S152" s="11"/>
      <c r="T152" s="30"/>
      <c r="U152" s="26"/>
      <c r="V152" s="26"/>
      <c r="W152" s="26"/>
      <c r="X152" s="26"/>
      <c r="Y152" s="26"/>
      <c r="Z152" s="26"/>
    </row>
    <row r="153" ht="6.75" customHeight="1">
      <c r="A153" s="26"/>
      <c r="B153" s="26"/>
      <c r="C153" s="26"/>
      <c r="D153" s="26"/>
      <c r="E153" s="26"/>
      <c r="F153" s="26"/>
      <c r="G153" s="31"/>
      <c r="H153" s="26"/>
      <c r="I153" s="31"/>
      <c r="J153" s="26"/>
      <c r="K153" s="26"/>
      <c r="L153" s="26"/>
      <c r="M153" s="26"/>
      <c r="N153" s="36" t="str">
        <f>"R145="&amp;TEXT(ROUND('防禦合併'!J146,3),"0.0%")&amp;" ~ "&amp;TEXT(ROUND('防禦合併'!K146,3),"0.0%")</f>
        <v>R145=22.7% ~ 30.0%</v>
      </c>
      <c r="O153" s="11"/>
      <c r="P153" s="30"/>
      <c r="Q153" s="26"/>
      <c r="R153" s="30"/>
      <c r="S153" s="26"/>
      <c r="T153" s="30"/>
      <c r="U153" s="27" t="s">
        <v>703</v>
      </c>
      <c r="V153" s="28" t="s">
        <v>452</v>
      </c>
      <c r="W153" s="26"/>
      <c r="X153" s="26"/>
      <c r="Y153" s="26"/>
      <c r="Z153" s="26"/>
    </row>
    <row r="154" ht="6.75" customHeight="1">
      <c r="A154" s="26"/>
      <c r="B154" s="26"/>
      <c r="C154" s="26"/>
      <c r="D154" s="26"/>
      <c r="E154" s="26"/>
      <c r="F154" s="26"/>
      <c r="G154" s="31"/>
      <c r="H154" s="26"/>
      <c r="I154" s="31"/>
      <c r="J154" s="26"/>
      <c r="K154" s="26"/>
      <c r="L154" s="26"/>
      <c r="M154" s="26"/>
      <c r="N154" s="26"/>
      <c r="O154" s="26"/>
      <c r="P154" s="30"/>
      <c r="Q154" s="26"/>
      <c r="R154" s="30"/>
      <c r="S154" s="26"/>
      <c r="T154" s="30"/>
      <c r="U154" s="29" t="str">
        <f>"R153="&amp;TEXT(ROUND('防禦合併'!J154,3),"0.0%")&amp;" ~ "&amp;TEXT(ROUND('防禦合併'!K154,3),"0.0%")</f>
        <v>R153=45.3% ~ 50.1%</v>
      </c>
      <c r="V154" s="28" t="str">
        <f>"P(76)="&amp;'IN-案件機率總表'!B77</f>
        <v>P(76)=0.007%</v>
      </c>
      <c r="W154" s="26"/>
      <c r="X154" s="26"/>
      <c r="Y154" s="26"/>
      <c r="Z154" s="26"/>
    </row>
    <row r="155" ht="6.75" customHeight="1">
      <c r="A155" s="26"/>
      <c r="B155" s="26"/>
      <c r="C155" s="26"/>
      <c r="D155" s="26"/>
      <c r="E155" s="26"/>
      <c r="F155" s="26"/>
      <c r="G155" s="31"/>
      <c r="H155" s="26"/>
      <c r="I155" s="31"/>
      <c r="J155" s="26"/>
      <c r="K155" s="26"/>
      <c r="L155" s="26"/>
      <c r="M155" s="26"/>
      <c r="N155" s="26"/>
      <c r="O155" s="31"/>
      <c r="P155" s="26"/>
      <c r="Q155" s="26"/>
      <c r="R155" s="30"/>
      <c r="S155" s="26"/>
      <c r="T155" s="34" t="s">
        <v>704</v>
      </c>
      <c r="U155" s="33"/>
      <c r="V155" s="26"/>
      <c r="W155" s="26"/>
      <c r="X155" s="26"/>
      <c r="Y155" s="26"/>
      <c r="Z155" s="26"/>
    </row>
    <row r="156" ht="6.75" customHeight="1">
      <c r="A156" s="26"/>
      <c r="B156" s="26"/>
      <c r="C156" s="26"/>
      <c r="D156" s="26"/>
      <c r="E156" s="26"/>
      <c r="F156" s="26"/>
      <c r="G156" s="31"/>
      <c r="H156" s="26"/>
      <c r="I156" s="31"/>
      <c r="J156" s="26"/>
      <c r="K156" s="26"/>
      <c r="L156" s="26"/>
      <c r="M156" s="26"/>
      <c r="N156" s="26"/>
      <c r="O156" s="31"/>
      <c r="P156" s="26"/>
      <c r="Q156" s="26"/>
      <c r="R156" s="30"/>
      <c r="S156" s="26"/>
      <c r="T156" s="36" t="str">
        <f>"R152="&amp;TEXT(ROUND('防禦合併'!J153,3),"0.0%")&amp;" ~ "&amp;TEXT(ROUND('防禦合併'!K153,3),"0.0%")</f>
        <v>R152=30.1% ~ 36.8%</v>
      </c>
      <c r="U156" s="34" t="s">
        <v>705</v>
      </c>
      <c r="V156" s="28" t="s">
        <v>458</v>
      </c>
      <c r="W156" s="26"/>
      <c r="X156" s="26"/>
      <c r="Y156" s="26"/>
      <c r="Z156" s="26"/>
    </row>
    <row r="157" ht="6.75" customHeight="1">
      <c r="A157" s="26"/>
      <c r="B157" s="26"/>
      <c r="C157" s="26"/>
      <c r="D157" s="26"/>
      <c r="E157" s="26"/>
      <c r="F157" s="26"/>
      <c r="G157" s="31"/>
      <c r="H157" s="26"/>
      <c r="I157" s="31"/>
      <c r="J157" s="26"/>
      <c r="K157" s="26"/>
      <c r="L157" s="26"/>
      <c r="M157" s="26"/>
      <c r="N157" s="26"/>
      <c r="O157" s="26"/>
      <c r="P157" s="34" t="s">
        <v>706</v>
      </c>
      <c r="Q157" s="8"/>
      <c r="R157" s="30"/>
      <c r="S157" s="26"/>
      <c r="T157" s="26"/>
      <c r="U157" s="36" t="str">
        <f>"R154="&amp;TEXT(ROUND('防禦合併'!J155,3),"0.0%")&amp;" ~ "&amp;TEXT(ROUND('防禦合併'!K155,3),"0.0%")</f>
        <v>R154=49.9% ~ 54.7%</v>
      </c>
      <c r="V157" s="28" t="str">
        <f>"P(77)="&amp;'IN-案件機率總表'!B78</f>
        <v>P(77)=0.007%</v>
      </c>
      <c r="W157" s="26"/>
      <c r="X157" s="26"/>
      <c r="Y157" s="26"/>
      <c r="Z157" s="26"/>
    </row>
    <row r="158" ht="6.75" customHeight="1">
      <c r="A158" s="26"/>
      <c r="B158" s="26"/>
      <c r="C158" s="26"/>
      <c r="D158" s="26"/>
      <c r="E158" s="26"/>
      <c r="F158" s="26"/>
      <c r="G158" s="31"/>
      <c r="H158" s="39" t="s">
        <v>707</v>
      </c>
      <c r="I158" s="8"/>
      <c r="J158" s="26"/>
      <c r="K158" s="26"/>
      <c r="L158" s="26"/>
      <c r="M158" s="26"/>
      <c r="N158" s="26"/>
      <c r="O158" s="26"/>
      <c r="P158" s="36" t="str">
        <f>"R147="&amp;TEXT(ROUND('防禦合併'!J148,3),"0.0%")&amp;" ~ "&amp;TEXT(ROUND('防禦合併'!K148,3),"0.0%")</f>
        <v>R147=19.2% ~ 26.9%</v>
      </c>
      <c r="Q158" s="11"/>
      <c r="R158" s="30"/>
      <c r="S158" s="26"/>
      <c r="T158" s="26"/>
      <c r="U158" s="26"/>
      <c r="V158" s="26"/>
      <c r="W158" s="26"/>
      <c r="X158" s="26"/>
      <c r="Y158" s="26"/>
      <c r="Z158" s="26"/>
    </row>
    <row r="159" ht="6.75" customHeight="1">
      <c r="A159" s="26"/>
      <c r="B159" s="26"/>
      <c r="C159" s="26"/>
      <c r="D159" s="26"/>
      <c r="E159" s="26"/>
      <c r="F159" s="26"/>
      <c r="G159" s="26"/>
      <c r="H159" s="36" t="str">
        <f>"R140="&amp;TEXT(ROUND('防禦合併'!J139,3),"0.0%")&amp;" ~ "&amp;TEXT(ROUND('防禦合併'!K139,3),"0.0%")</f>
        <v>R140=62.4% ~ 66.0%</v>
      </c>
      <c r="I159" s="11"/>
      <c r="J159" s="26"/>
      <c r="K159" s="26"/>
      <c r="L159" s="26"/>
      <c r="M159" s="26"/>
      <c r="N159" s="26"/>
      <c r="O159" s="26"/>
      <c r="P159" s="26"/>
      <c r="Q159" s="26"/>
      <c r="R159" s="30"/>
      <c r="S159" s="26"/>
      <c r="T159" s="26"/>
      <c r="U159" s="27" t="s">
        <v>708</v>
      </c>
      <c r="V159" s="28" t="s">
        <v>466</v>
      </c>
      <c r="W159" s="26"/>
      <c r="X159" s="26"/>
      <c r="Y159" s="26"/>
      <c r="Z159" s="26"/>
    </row>
    <row r="160" ht="6.75" customHeight="1">
      <c r="A160" s="26"/>
      <c r="B160" s="26"/>
      <c r="C160" s="26"/>
      <c r="D160" s="26"/>
      <c r="E160" s="26"/>
      <c r="F160" s="26"/>
      <c r="G160" s="26"/>
      <c r="H160" s="26"/>
      <c r="I160" s="31"/>
      <c r="J160" s="26"/>
      <c r="K160" s="26"/>
      <c r="L160" s="26"/>
      <c r="M160" s="26"/>
      <c r="N160" s="26"/>
      <c r="O160" s="26"/>
      <c r="P160" s="26"/>
      <c r="Q160" s="26"/>
      <c r="R160" s="30"/>
      <c r="S160" s="26"/>
      <c r="T160" s="27" t="s">
        <v>709</v>
      </c>
      <c r="U160" s="29" t="str">
        <f>"R157="&amp;TEXT(ROUND('防禦合併'!J158,3),"0.0%")&amp;" ~ "&amp;TEXT(ROUND('防禦合併'!K158,3),"0.0%")</f>
        <v>R157=56.6% ~ 62.6%</v>
      </c>
      <c r="V160" s="28" t="str">
        <f>"P(78)="&amp;'IN-案件機率總表'!B79</f>
        <v>P(78)=0.013%</v>
      </c>
      <c r="W160" s="26"/>
      <c r="X160" s="26"/>
      <c r="Y160" s="26"/>
      <c r="Z160" s="26"/>
    </row>
    <row r="161" ht="6.75" customHeight="1">
      <c r="A161" s="26"/>
      <c r="B161" s="26"/>
      <c r="C161" s="26"/>
      <c r="D161" s="26"/>
      <c r="E161" s="26"/>
      <c r="F161" s="26"/>
      <c r="G161" s="26"/>
      <c r="H161" s="26"/>
      <c r="I161" s="31"/>
      <c r="J161" s="26"/>
      <c r="K161" s="26"/>
      <c r="L161" s="26"/>
      <c r="M161" s="26"/>
      <c r="N161" s="26"/>
      <c r="O161" s="26"/>
      <c r="P161" s="26"/>
      <c r="Q161" s="26"/>
      <c r="R161" s="30"/>
      <c r="S161" s="26"/>
      <c r="T161" s="29" t="str">
        <f>"R156="&amp;TEXT(ROUND('防禦合併'!J157,3),"0.0%")&amp;" ~ "&amp;TEXT(ROUND('防禦合併'!K157,3),"0.0%")</f>
        <v>R156=53.7% ~ 59.4%</v>
      </c>
      <c r="U161" s="33"/>
      <c r="V161" s="26"/>
      <c r="W161" s="26"/>
      <c r="X161" s="26"/>
      <c r="Y161" s="26"/>
      <c r="Z161" s="26"/>
    </row>
    <row r="162" ht="6.75" customHeight="1">
      <c r="A162" s="26"/>
      <c r="B162" s="26"/>
      <c r="C162" s="26"/>
      <c r="D162" s="26"/>
      <c r="E162" s="26"/>
      <c r="F162" s="26"/>
      <c r="G162" s="26"/>
      <c r="H162" s="26"/>
      <c r="I162" s="31"/>
      <c r="J162" s="26"/>
      <c r="K162" s="26"/>
      <c r="L162" s="26"/>
      <c r="M162" s="26"/>
      <c r="N162" s="26"/>
      <c r="O162" s="26"/>
      <c r="P162" s="26"/>
      <c r="Q162" s="31"/>
      <c r="R162" s="26"/>
      <c r="S162" s="31"/>
      <c r="T162" s="26"/>
      <c r="U162" s="34" t="s">
        <v>710</v>
      </c>
      <c r="V162" s="28" t="s">
        <v>472</v>
      </c>
      <c r="W162" s="26"/>
      <c r="X162" s="26"/>
      <c r="Y162" s="26"/>
      <c r="Z162" s="26"/>
    </row>
    <row r="163" ht="6.75" customHeight="1">
      <c r="A163" s="26"/>
      <c r="B163" s="26"/>
      <c r="C163" s="26"/>
      <c r="D163" s="26"/>
      <c r="E163" s="26"/>
      <c r="F163" s="26"/>
      <c r="G163" s="26"/>
      <c r="H163" s="26"/>
      <c r="I163" s="31"/>
      <c r="J163" s="26"/>
      <c r="K163" s="26"/>
      <c r="L163" s="26"/>
      <c r="M163" s="26"/>
      <c r="N163" s="26"/>
      <c r="O163" s="26"/>
      <c r="P163" s="26"/>
      <c r="Q163" s="26"/>
      <c r="R163" s="34" t="s">
        <v>711</v>
      </c>
      <c r="S163" s="8"/>
      <c r="T163" s="30"/>
      <c r="U163" s="36" t="str">
        <f>"R158="&amp;TEXT(ROUND('防禦合併'!J159,3),"0.0%")&amp;" ~ "&amp;TEXT(ROUND('防禦合併'!K159,3),"0.0%")</f>
        <v>R158=37.4% ~ 43.4%</v>
      </c>
      <c r="V163" s="28" t="str">
        <f>"P(79)="&amp;'IN-案件機率總表'!B80</f>
        <v>P(79)=0.009%</v>
      </c>
      <c r="W163" s="26"/>
      <c r="X163" s="26"/>
      <c r="Y163" s="26"/>
      <c r="Z163" s="26"/>
    </row>
    <row r="164" ht="6.75" customHeight="1">
      <c r="A164" s="26"/>
      <c r="B164" s="26"/>
      <c r="C164" s="26"/>
      <c r="D164" s="26"/>
      <c r="E164" s="26"/>
      <c r="F164" s="26"/>
      <c r="G164" s="26"/>
      <c r="H164" s="26"/>
      <c r="I164" s="31"/>
      <c r="J164" s="26"/>
      <c r="K164" s="26"/>
      <c r="L164" s="26"/>
      <c r="M164" s="26"/>
      <c r="N164" s="26"/>
      <c r="O164" s="26"/>
      <c r="P164" s="26"/>
      <c r="Q164" s="26"/>
      <c r="R164" s="36" t="str">
        <f>"R155="&amp;TEXT(ROUND('防禦合併'!J156,3),"0.0%")&amp;" ~ "&amp;TEXT(ROUND('防禦合併'!K156,3),"0.0%")</f>
        <v>R155=45.6% ~ 50.8%</v>
      </c>
      <c r="S164" s="11"/>
      <c r="T164" s="30"/>
      <c r="U164" s="26"/>
      <c r="V164" s="26"/>
      <c r="W164" s="26"/>
      <c r="X164" s="26"/>
      <c r="Y164" s="26"/>
      <c r="Z164" s="26"/>
    </row>
    <row r="165" ht="6.75" customHeight="1">
      <c r="A165" s="26"/>
      <c r="B165" s="26"/>
      <c r="C165" s="26"/>
      <c r="D165" s="26"/>
      <c r="E165" s="26"/>
      <c r="F165" s="26"/>
      <c r="G165" s="26"/>
      <c r="H165" s="26"/>
      <c r="I165" s="31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30"/>
      <c r="U165" s="27" t="s">
        <v>712</v>
      </c>
      <c r="V165" s="28" t="s">
        <v>478</v>
      </c>
      <c r="W165" s="26"/>
      <c r="X165" s="26"/>
      <c r="Y165" s="26"/>
      <c r="Z165" s="26"/>
    </row>
    <row r="166" ht="6.75" customHeight="1">
      <c r="A166" s="26"/>
      <c r="B166" s="26"/>
      <c r="C166" s="26"/>
      <c r="D166" s="26"/>
      <c r="E166" s="26"/>
      <c r="F166" s="26"/>
      <c r="G166" s="26"/>
      <c r="H166" s="26"/>
      <c r="I166" s="31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30"/>
      <c r="U166" s="29" t="str">
        <f>"R160="&amp;TEXT(ROUND('防禦合併'!J161,3),"0.0%")&amp;" ~ "&amp;TEXT(ROUND('防禦合併'!K161,3),"0.0%")</f>
        <v>R160=45.3% ~ 50.1%</v>
      </c>
      <c r="V166" s="28" t="str">
        <f>"P(80)="&amp;'IN-案件機率總表'!B81</f>
        <v>P(80)=0.008%</v>
      </c>
      <c r="W166" s="26"/>
      <c r="X166" s="26"/>
      <c r="Y166" s="26"/>
      <c r="Z166" s="26"/>
    </row>
    <row r="167" ht="6.75" customHeight="1">
      <c r="A167" s="26"/>
      <c r="B167" s="26"/>
      <c r="C167" s="26"/>
      <c r="D167" s="26"/>
      <c r="E167" s="26"/>
      <c r="F167" s="26"/>
      <c r="G167" s="26"/>
      <c r="H167" s="26"/>
      <c r="I167" s="3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34" t="s">
        <v>713</v>
      </c>
      <c r="U167" s="33"/>
      <c r="V167" s="26"/>
      <c r="W167" s="26"/>
      <c r="X167" s="26"/>
      <c r="Y167" s="26"/>
      <c r="Z167" s="26"/>
    </row>
    <row r="168" ht="6.75" customHeight="1">
      <c r="A168" s="26"/>
      <c r="B168" s="26"/>
      <c r="C168" s="26"/>
      <c r="D168" s="26"/>
      <c r="E168" s="26"/>
      <c r="F168" s="26"/>
      <c r="G168" s="26"/>
      <c r="H168" s="26"/>
      <c r="I168" s="3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36" t="str">
        <f>"R159="&amp;TEXT(ROUND('防禦合併'!J160,3),"0.0%")&amp;" ~ "&amp;TEXT(ROUND('防禦合併'!K160,3),"0.0%")</f>
        <v>R159=40.6% ~ 46.3%</v>
      </c>
      <c r="U168" s="34" t="s">
        <v>714</v>
      </c>
      <c r="V168" s="28" t="s">
        <v>484</v>
      </c>
      <c r="W168" s="26"/>
      <c r="X168" s="26"/>
      <c r="Y168" s="26"/>
      <c r="Z168" s="26"/>
    </row>
    <row r="169" ht="6.75" customHeight="1">
      <c r="A169" s="26"/>
      <c r="B169" s="26"/>
      <c r="C169" s="26"/>
      <c r="D169" s="26"/>
      <c r="E169" s="26"/>
      <c r="F169" s="26"/>
      <c r="G169" s="26"/>
      <c r="H169" s="26"/>
      <c r="I169" s="31"/>
      <c r="J169" s="26"/>
      <c r="K169" s="26"/>
      <c r="L169" s="27" t="s">
        <v>715</v>
      </c>
      <c r="M169" s="3"/>
      <c r="N169" s="28" t="s">
        <v>486</v>
      </c>
      <c r="O169" s="26"/>
      <c r="P169" s="26"/>
      <c r="Q169" s="26"/>
      <c r="R169" s="26"/>
      <c r="S169" s="26"/>
      <c r="T169" s="26"/>
      <c r="U169" s="36" t="str">
        <f>"R161="&amp;TEXT(ROUND('防禦合併'!J162,3),"0.0%")&amp;" ~ "&amp;TEXT(ROUND('防禦合併'!K162,3),"0.0%")</f>
        <v>R161=49.9% ~ 54.7%</v>
      </c>
      <c r="V169" s="28" t="str">
        <f>"P(81)="&amp;'IN-案件機率總表'!B82</f>
        <v>P(81)=0.009%</v>
      </c>
      <c r="W169" s="26"/>
      <c r="X169" s="26"/>
      <c r="Y169" s="26"/>
      <c r="Z169" s="26"/>
    </row>
    <row r="170" ht="6.75" customHeight="1">
      <c r="A170" s="26"/>
      <c r="B170" s="26"/>
      <c r="C170" s="26"/>
      <c r="D170" s="26"/>
      <c r="E170" s="26"/>
      <c r="F170" s="26"/>
      <c r="G170" s="26"/>
      <c r="H170" s="26"/>
      <c r="I170" s="31"/>
      <c r="J170" s="26"/>
      <c r="K170" s="26"/>
      <c r="L170" s="29" t="str">
        <f>"R163="&amp;TEXT(ROUND('防禦合併'!J164,3),"0.0%")&amp;" ~ "&amp;TEXT(ROUND('防禦合併'!K164,3),"0.0%")</f>
        <v>R163=61.1% ~ 67.5%</v>
      </c>
      <c r="M170" s="6"/>
      <c r="N170" s="28" t="str">
        <f>"P(82)="&amp;'IN-案件機率總表'!B83</f>
        <v>P(82)=9.281%</v>
      </c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6.75" customHeight="1">
      <c r="A171" s="26"/>
      <c r="B171" s="26"/>
      <c r="C171" s="26"/>
      <c r="D171" s="26"/>
      <c r="E171" s="26"/>
      <c r="F171" s="26"/>
      <c r="G171" s="26"/>
      <c r="H171" s="26"/>
      <c r="I171" s="31"/>
      <c r="J171" s="39" t="s">
        <v>716</v>
      </c>
      <c r="K171" s="8"/>
      <c r="L171" s="30"/>
      <c r="M171" s="26"/>
      <c r="N171" s="27" t="s">
        <v>717</v>
      </c>
      <c r="O171" s="3"/>
      <c r="P171" s="28" t="s">
        <v>493</v>
      </c>
      <c r="Q171" s="26"/>
      <c r="R171" s="26"/>
      <c r="S171" s="26"/>
      <c r="T171" s="26"/>
      <c r="U171" s="27" t="s">
        <v>718</v>
      </c>
      <c r="V171" s="28" t="s">
        <v>495</v>
      </c>
      <c r="W171" s="26"/>
      <c r="X171" s="26"/>
      <c r="Y171" s="26"/>
      <c r="Z171" s="26"/>
    </row>
    <row r="172" ht="6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36" t="str">
        <f>"R162="&amp;TEXT(ROUND('防禦合併'!J163,3),"0.0%")&amp;" ~ "&amp;TEXT(ROUND('防禦合併'!K163,3),"0.0%")</f>
        <v>R162=78.3% ~ 80.3%</v>
      </c>
      <c r="K172" s="11"/>
      <c r="L172" s="30"/>
      <c r="M172" s="26"/>
      <c r="N172" s="29" t="str">
        <f>"R165="&amp;TEXT(ROUND('防禦合併'!J166,3),"0.0%")&amp;" ~ "&amp;TEXT(ROUND('防禦合併'!K166,3),"0.0%")</f>
        <v>R165=70.0% ~ 77.3%</v>
      </c>
      <c r="O172" s="6"/>
      <c r="P172" s="28" t="str">
        <f>"P(83)="&amp;'IN-案件機率總表'!B84</f>
        <v>P(83)=3.804%</v>
      </c>
      <c r="Q172" s="26"/>
      <c r="R172" s="26"/>
      <c r="S172" s="26"/>
      <c r="T172" s="27" t="s">
        <v>719</v>
      </c>
      <c r="U172" s="29" t="str">
        <f>"R171="&amp;TEXT(ROUND('防禦合併'!J172,3),"0.0%")&amp;" ~ "&amp;TEXT(ROUND('防禦合併'!K172,3),"0.0%")</f>
        <v>R171=56.6% ~ 62.6%</v>
      </c>
      <c r="V172" s="28" t="str">
        <f>"P(85)="&amp;'IN-案件機率總表'!B86</f>
        <v>P(85)=0.063%</v>
      </c>
      <c r="W172" s="26"/>
      <c r="X172" s="26"/>
      <c r="Y172" s="26"/>
      <c r="Z172" s="26"/>
    </row>
    <row r="173" ht="6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31"/>
      <c r="L173" s="34" t="s">
        <v>720</v>
      </c>
      <c r="M173" s="8"/>
      <c r="N173" s="30"/>
      <c r="O173" s="26"/>
      <c r="P173" s="27" t="s">
        <v>721</v>
      </c>
      <c r="Q173" s="3"/>
      <c r="R173" s="28" t="s">
        <v>504</v>
      </c>
      <c r="S173" s="26"/>
      <c r="T173" s="29" t="str">
        <f>"R170="&amp;TEXT(ROUND('防禦合併'!J171,3),"0.0%")&amp;" ~ "&amp;TEXT(ROUND('防禦合併'!K171,3),"0.0%")</f>
        <v>R170=63.2% ~ 69.9%</v>
      </c>
      <c r="U173" s="33"/>
      <c r="V173" s="26"/>
      <c r="W173" s="26"/>
      <c r="X173" s="26"/>
      <c r="Y173" s="26"/>
      <c r="Z173" s="26"/>
    </row>
    <row r="174" ht="6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36" t="str">
        <f>"R164="&amp;TEXT(ROUND('防禦合併'!J165,3),"0.0%")&amp;" ~ "&amp;TEXT(ROUND('防禦合併'!K165,3),"0.0%")</f>
        <v>R164=32.5% ~ 38.9%</v>
      </c>
      <c r="M174" s="11"/>
      <c r="N174" s="30"/>
      <c r="O174" s="26"/>
      <c r="P174" s="29" t="str">
        <f>"R167="&amp;TEXT(ROUND('防禦合併'!J168,3),"0.0%")&amp;" ~ "&amp;TEXT(ROUND('防禦合併'!K168,3),"0.0%")</f>
        <v>R167=73.1% ~ 80.8%</v>
      </c>
      <c r="Q174" s="6"/>
      <c r="R174" s="28" t="str">
        <f>"P(84)="&amp;'IN-案件機率總表'!B85</f>
        <v>P(84)=1.034%</v>
      </c>
      <c r="S174" s="31"/>
      <c r="T174" s="26"/>
      <c r="U174" s="34" t="s">
        <v>722</v>
      </c>
      <c r="V174" s="28" t="s">
        <v>510</v>
      </c>
      <c r="W174" s="26"/>
      <c r="X174" s="26"/>
      <c r="Y174" s="26"/>
      <c r="Z174" s="26"/>
    </row>
    <row r="175" ht="6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31"/>
      <c r="N175" s="26"/>
      <c r="O175" s="26"/>
      <c r="P175" s="30"/>
      <c r="Q175" s="26"/>
      <c r="R175" s="27" t="s">
        <v>723</v>
      </c>
      <c r="S175" s="8"/>
      <c r="T175" s="30"/>
      <c r="U175" s="36" t="str">
        <f>"R172="&amp;TEXT(ROUND('防禦合併'!J173,3),"0.0%")&amp;" ~ "&amp;TEXT(ROUND('防禦合併'!K173,3),"0.0%")</f>
        <v>R172=37.4% ~ 43.4%</v>
      </c>
      <c r="V175" s="28" t="str">
        <f>"P(86)="&amp;'IN-案件機率總表'!B87</f>
        <v>P(86)=0.043%</v>
      </c>
      <c r="W175" s="26"/>
      <c r="X175" s="26"/>
      <c r="Y175" s="26"/>
      <c r="Z175" s="26"/>
    </row>
    <row r="176" ht="6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34" t="s">
        <v>724</v>
      </c>
      <c r="O176" s="8"/>
      <c r="P176" s="30"/>
      <c r="Q176" s="26"/>
      <c r="R176" s="29" t="str">
        <f>"R169="&amp;TEXT(ROUND('防禦合併'!J170,3),"0.0%")&amp;" ~ "&amp;TEXT(ROUND('防禦合併'!K170,3),"0.0%")</f>
        <v>R169=24.6% ~ 27.2%</v>
      </c>
      <c r="S176" s="11"/>
      <c r="T176" s="30"/>
      <c r="U176" s="26"/>
      <c r="V176" s="26"/>
      <c r="W176" s="26"/>
      <c r="X176" s="26"/>
      <c r="Y176" s="26"/>
      <c r="Z176" s="26"/>
    </row>
    <row r="177" ht="6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36" t="str">
        <f>"R166="&amp;TEXT(ROUND('防禦合併'!J167,3),"0.0%")&amp;" ~ "&amp;TEXT(ROUND('防禦合併'!K167,3),"0.0%")</f>
        <v>R166=22.7% ~ 30.0%</v>
      </c>
      <c r="O177" s="11"/>
      <c r="P177" s="30"/>
      <c r="Q177" s="26"/>
      <c r="R177" s="30"/>
      <c r="S177" s="26"/>
      <c r="T177" s="30"/>
      <c r="U177" s="27" t="s">
        <v>725</v>
      </c>
      <c r="V177" s="28" t="s">
        <v>518</v>
      </c>
      <c r="W177" s="26"/>
      <c r="X177" s="26"/>
      <c r="Y177" s="26"/>
      <c r="Z177" s="26"/>
    </row>
    <row r="178" ht="6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30"/>
      <c r="Q178" s="26"/>
      <c r="R178" s="30"/>
      <c r="S178" s="26"/>
      <c r="T178" s="30"/>
      <c r="U178" s="29" t="str">
        <f>"R174="&amp;TEXT(ROUND('防禦合併'!J175,3),"0.0%")&amp;" ~ "&amp;TEXT(ROUND('防禦合併'!K175,3),"0.0%")</f>
        <v>R174=45.3% ~ 50.1%</v>
      </c>
      <c r="V178" s="28" t="str">
        <f>"P(87)="&amp;'IN-案件機率總表'!B88</f>
        <v>P(87)=0.025%</v>
      </c>
      <c r="W178" s="26"/>
      <c r="X178" s="26"/>
      <c r="Y178" s="26"/>
      <c r="Z178" s="26"/>
    </row>
    <row r="179" ht="6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30"/>
      <c r="Q179" s="26"/>
      <c r="R179" s="30"/>
      <c r="S179" s="26"/>
      <c r="T179" s="34" t="s">
        <v>726</v>
      </c>
      <c r="U179" s="33"/>
      <c r="V179" s="26"/>
      <c r="W179" s="26"/>
      <c r="X179" s="26"/>
      <c r="Y179" s="26"/>
      <c r="Z179" s="26"/>
    </row>
    <row r="180" ht="6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34" t="s">
        <v>727</v>
      </c>
      <c r="Q180" s="8"/>
      <c r="R180" s="30"/>
      <c r="S180" s="26"/>
      <c r="T180" s="36" t="str">
        <f>"R173="&amp;TEXT(ROUND('防禦合併'!J174,3),"0.0%")&amp;" ~ "&amp;TEXT(ROUND('防禦合併'!K174,3),"0.0%")</f>
        <v>R173=30.1% ~ 36.8%</v>
      </c>
      <c r="U180" s="34" t="s">
        <v>728</v>
      </c>
      <c r="V180" s="28" t="s">
        <v>525</v>
      </c>
      <c r="W180" s="26"/>
      <c r="X180" s="26"/>
      <c r="Y180" s="26"/>
      <c r="Z180" s="26"/>
    </row>
    <row r="181" ht="6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36" t="str">
        <f>"R168="&amp;TEXT(ROUND('防禦合併'!J169,3),"0.0%")&amp;" ~ "&amp;TEXT(ROUND('防禦合併'!K169,3),"0.0%")</f>
        <v>R168=19.2% ~ 26.9%</v>
      </c>
      <c r="Q181" s="11"/>
      <c r="R181" s="30"/>
      <c r="S181" s="26"/>
      <c r="T181" s="26"/>
      <c r="U181" s="36" t="str">
        <f>"R175="&amp;TEXT(ROUND('防禦合併'!J176,3),"0.0%")&amp;" ~ "&amp;TEXT(ROUND('防禦合併'!K176,3),"0.0%")</f>
        <v>R175=49.9% ~ 54.7%</v>
      </c>
      <c r="V181" s="28" t="str">
        <f>"P(88)="&amp;'IN-案件機率總表'!B89</f>
        <v>P(88)=0.028%</v>
      </c>
      <c r="W181" s="26"/>
      <c r="X181" s="26"/>
      <c r="Y181" s="26"/>
      <c r="Z181" s="26"/>
    </row>
    <row r="182" ht="6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30"/>
      <c r="S182" s="26"/>
      <c r="T182" s="26"/>
      <c r="U182" s="26"/>
      <c r="V182" s="26"/>
      <c r="W182" s="26"/>
      <c r="X182" s="26"/>
      <c r="Y182" s="26"/>
      <c r="Z182" s="26"/>
    </row>
    <row r="183" ht="6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30"/>
      <c r="S183" s="26"/>
      <c r="T183" s="26"/>
      <c r="U183" s="27" t="s">
        <v>729</v>
      </c>
      <c r="V183" s="28" t="s">
        <v>530</v>
      </c>
      <c r="W183" s="26"/>
      <c r="X183" s="26"/>
      <c r="Y183" s="26"/>
      <c r="Z183" s="26"/>
    </row>
    <row r="184" ht="6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30"/>
      <c r="S184" s="26"/>
      <c r="T184" s="27" t="s">
        <v>730</v>
      </c>
      <c r="U184" s="29" t="str">
        <f>"R178="&amp;TEXT(ROUND('防禦合併'!J179,3),"0.0%")&amp;" ~ "&amp;TEXT(ROUND('防禦合併'!K179,3),"0.0%")</f>
        <v>R178=56.6% ~ 62.6%</v>
      </c>
      <c r="V184" s="28" t="str">
        <f>"P(89)="&amp;'IN-案件機率總表'!B90</f>
        <v>P(89)=0.050%</v>
      </c>
      <c r="W184" s="26"/>
      <c r="X184" s="26"/>
      <c r="Y184" s="26"/>
      <c r="Z184" s="26"/>
    </row>
    <row r="185" ht="6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30"/>
      <c r="S185" s="26"/>
      <c r="T185" s="29" t="str">
        <f>"R177="&amp;TEXT(ROUND('防禦合併'!J178,3),"0.0%")&amp;" ~ "&amp;TEXT(ROUND('防禦合併'!K178,3),"0.0%")</f>
        <v>R177=53.7% ~ 59.4%</v>
      </c>
      <c r="U185" s="33"/>
      <c r="V185" s="26"/>
      <c r="W185" s="26"/>
      <c r="X185" s="26"/>
      <c r="Y185" s="26"/>
      <c r="Z185" s="26"/>
    </row>
    <row r="186" ht="6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30"/>
      <c r="S186" s="31"/>
      <c r="T186" s="26"/>
      <c r="U186" s="34" t="s">
        <v>731</v>
      </c>
      <c r="V186" s="28" t="s">
        <v>536</v>
      </c>
      <c r="W186" s="26"/>
      <c r="X186" s="26"/>
      <c r="Y186" s="26"/>
      <c r="Z186" s="26"/>
    </row>
    <row r="187" ht="6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34" t="s">
        <v>732</v>
      </c>
      <c r="S187" s="8"/>
      <c r="T187" s="30"/>
      <c r="U187" s="36" t="str">
        <f>"R179="&amp;TEXT(ROUND('防禦合併'!J180,3),"0.0%")&amp;" ~ "&amp;TEXT(ROUND('防禦合併'!K180,3),"0.0%")</f>
        <v>R179=37.4% ~ 43.4%</v>
      </c>
      <c r="V187" s="28" t="str">
        <f>"P(90)="&amp;'IN-案件機率總表'!B91</f>
        <v>P(90)=0.034%</v>
      </c>
      <c r="W187" s="26"/>
      <c r="X187" s="26"/>
      <c r="Y187" s="26"/>
      <c r="Z187" s="26"/>
    </row>
    <row r="188" ht="6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36" t="str">
        <f>"R176="&amp;TEXT(ROUND('防禦合併'!J177,3),"0.0%")&amp;" ~ "&amp;TEXT(ROUND('防禦合併'!K177,3),"0.0%")</f>
        <v>R176=72.8% ~ 75.4%</v>
      </c>
      <c r="S188" s="11"/>
      <c r="T188" s="30"/>
      <c r="U188" s="26"/>
      <c r="V188" s="26"/>
      <c r="W188" s="26"/>
      <c r="X188" s="26"/>
      <c r="Y188" s="26"/>
      <c r="Z188" s="26"/>
    </row>
    <row r="189" ht="6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30"/>
      <c r="U189" s="27" t="s">
        <v>733</v>
      </c>
      <c r="V189" s="28" t="s">
        <v>542</v>
      </c>
      <c r="W189" s="26"/>
      <c r="X189" s="26"/>
      <c r="Y189" s="26"/>
      <c r="Z189" s="26"/>
    </row>
    <row r="190" ht="6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30"/>
      <c r="U190" s="29" t="str">
        <f>"R181="&amp;TEXT(ROUND('防禦合併'!J182,3),"0.0%")&amp;" ~ "&amp;TEXT(ROUND('防禦合併'!K182,3),"0.0%")</f>
        <v>R181=45.3% ~ 50.1%</v>
      </c>
      <c r="V190" s="28" t="str">
        <f>"P(91)="&amp;'IN-案件機率總表'!B92</f>
        <v>P(91)=0.031%</v>
      </c>
      <c r="W190" s="26"/>
      <c r="X190" s="26"/>
      <c r="Y190" s="26"/>
      <c r="Z190" s="26"/>
    </row>
    <row r="191" ht="6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34" t="s">
        <v>734</v>
      </c>
      <c r="U191" s="33"/>
      <c r="V191" s="26"/>
      <c r="W191" s="26"/>
      <c r="X191" s="26"/>
      <c r="Y191" s="26"/>
      <c r="Z191" s="26"/>
    </row>
    <row r="192" ht="6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36" t="str">
        <f>"R180="&amp;TEXT(ROUND('防禦合併'!J181,3),"0.0%")&amp;" ~ "&amp;TEXT(ROUND('防禦合併'!K181,3),"0.0%")</f>
        <v>R180=40.6% ~ 46.3%</v>
      </c>
      <c r="U192" s="34" t="s">
        <v>735</v>
      </c>
      <c r="V192" s="28" t="s">
        <v>548</v>
      </c>
      <c r="W192" s="26"/>
      <c r="X192" s="26"/>
      <c r="Y192" s="26"/>
      <c r="Z192" s="26"/>
    </row>
    <row r="193" ht="6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36" t="str">
        <f>"R182="&amp;TEXT(ROUND('防禦合併'!J183,3),"0.0%")&amp;" ~ "&amp;TEXT(ROUND('防禦合併'!K183,3),"0.0%")</f>
        <v>R182=49.9% ~ 54.7%</v>
      </c>
      <c r="V193" s="28" t="str">
        <f>"P(92)="&amp;'IN-案件機率總表'!B93</f>
        <v>P(92)=0.034%</v>
      </c>
      <c r="W193" s="26"/>
      <c r="X193" s="26"/>
      <c r="Y193" s="26"/>
      <c r="Z193" s="26"/>
    </row>
    <row r="194" ht="6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6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6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6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6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6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6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6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6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6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6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6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6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6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6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6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6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6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6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6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6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6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6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6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6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6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6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6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6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6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6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6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6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6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6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6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6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6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6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6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6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6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6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6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6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6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6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6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6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6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6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6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6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6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6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6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6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6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6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6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6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6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6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6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6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6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6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6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6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6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6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6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6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6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6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6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6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6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6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6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6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6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6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6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6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6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6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6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6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6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6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6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6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6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6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6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6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6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6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6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6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6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6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6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6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6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6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6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6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6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6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6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6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6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6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6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6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6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6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6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6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6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6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6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6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6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6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6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6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6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6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6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6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6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6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6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6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6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6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6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6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6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6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6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6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6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6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6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6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6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6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6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6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6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6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6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6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6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6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6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6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6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6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6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6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6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6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6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6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6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6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6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6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6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6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6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6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6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6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6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6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6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6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6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6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6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6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6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6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6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6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6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6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6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6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6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6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6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6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6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6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6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6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6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6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6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ht="6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ht="6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ht="6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ht="6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ht="6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ht="6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ht="6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ht="6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ht="6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ht="6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ht="6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ht="6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ht="6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ht="6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ht="6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ht="6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ht="6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ht="6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ht="6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ht="6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ht="6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6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ht="6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ht="6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ht="6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ht="6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ht="6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ht="6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ht="6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ht="6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ht="6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ht="6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ht="6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ht="6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ht="6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ht="6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ht="6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ht="6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ht="6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ht="6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ht="6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ht="6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ht="6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ht="6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ht="6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ht="6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ht="6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ht="6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ht="6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ht="6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ht="6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ht="6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ht="6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ht="6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ht="6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ht="6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ht="6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ht="6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ht="6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ht="6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ht="6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ht="6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ht="6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ht="6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ht="6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ht="6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ht="6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ht="6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ht="6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ht="6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ht="6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ht="6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ht="6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ht="6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ht="6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ht="6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ht="6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ht="6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ht="6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ht="6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ht="6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ht="6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ht="6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ht="6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ht="6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ht="6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ht="6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ht="6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ht="6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ht="6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ht="6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ht="6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ht="6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ht="6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ht="6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ht="6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ht="6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ht="6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ht="6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ht="6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ht="6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ht="6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ht="6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ht="6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6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6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6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6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6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6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6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6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ht="6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ht="6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ht="6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ht="6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ht="6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ht="6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ht="6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ht="6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ht="6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ht="6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ht="6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ht="6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ht="6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ht="6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ht="6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ht="6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ht="6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ht="6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ht="6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ht="6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ht="6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ht="6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ht="6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ht="6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ht="6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ht="6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ht="6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ht="6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ht="6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ht="6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ht="6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ht="6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ht="6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ht="6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ht="6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ht="6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ht="6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ht="6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ht="6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ht="6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ht="6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ht="6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ht="6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ht="6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ht="6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ht="6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ht="6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ht="6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ht="6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ht="6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ht="6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ht="6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ht="6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ht="6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ht="6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ht="6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ht="6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ht="6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ht="6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ht="6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ht="6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ht="6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ht="6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ht="6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ht="6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ht="6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ht="6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ht="6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ht="6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ht="6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ht="6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ht="6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ht="6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ht="6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ht="6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ht="6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ht="6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ht="6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ht="6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ht="6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ht="6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ht="6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ht="6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ht="6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ht="6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ht="6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ht="6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ht="6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ht="6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ht="6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ht="6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ht="6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ht="6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ht="6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ht="6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ht="6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ht="6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ht="6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ht="6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ht="6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ht="6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ht="6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ht="6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ht="6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ht="6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ht="6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ht="6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ht="6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ht="6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ht="6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ht="6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ht="6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ht="6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ht="6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ht="6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ht="6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ht="6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ht="6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ht="6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ht="6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ht="6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ht="6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ht="6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ht="6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ht="6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ht="6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ht="6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ht="6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ht="6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ht="6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ht="6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ht="6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ht="6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ht="6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ht="6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ht="6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ht="6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ht="6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ht="6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ht="6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ht="6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ht="6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ht="6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ht="6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ht="6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ht="6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ht="6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ht="6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ht="6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ht="6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ht="6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ht="6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ht="6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ht="6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ht="6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ht="6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ht="6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ht="6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ht="6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ht="6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ht="6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ht="6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ht="6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ht="6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ht="6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ht="6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ht="6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ht="6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ht="6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ht="6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ht="6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ht="6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ht="6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ht="6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ht="6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ht="6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ht="6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ht="6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ht="6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ht="6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ht="6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ht="6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ht="6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ht="6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ht="6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ht="6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ht="6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ht="6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ht="6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ht="6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ht="6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ht="6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ht="6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ht="6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ht="6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ht="6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ht="6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ht="6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ht="6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ht="6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ht="6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ht="6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ht="6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ht="6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ht="6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ht="6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ht="6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ht="6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ht="6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ht="6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ht="6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ht="6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ht="6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ht="6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ht="6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ht="6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ht="6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ht="6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ht="6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ht="6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ht="6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ht="6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ht="6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ht="6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ht="6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ht="6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ht="6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ht="6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ht="6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ht="6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ht="6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ht="6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ht="6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ht="6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ht="6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ht="6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ht="6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ht="6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ht="6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ht="6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ht="6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ht="6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ht="6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ht="6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ht="6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ht="6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ht="6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ht="6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ht="6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ht="6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ht="6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ht="6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ht="6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ht="6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ht="6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ht="6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ht="6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ht="6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ht="6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ht="6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ht="6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ht="6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ht="6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ht="6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ht="6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ht="6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ht="6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ht="6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ht="6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ht="6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ht="6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ht="6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ht="6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ht="6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ht="6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ht="6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ht="6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ht="6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ht="6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ht="6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ht="6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ht="6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ht="6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ht="6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ht="6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ht="6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ht="6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ht="6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ht="6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ht="6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ht="6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ht="6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ht="6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ht="6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ht="6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ht="6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ht="6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ht="6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ht="6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ht="6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ht="6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ht="6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ht="6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ht="6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ht="6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ht="6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ht="6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ht="6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ht="6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ht="6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ht="6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ht="6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ht="6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ht="6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ht="6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ht="6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ht="6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ht="6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ht="6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ht="6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ht="6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ht="6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ht="6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ht="6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ht="6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ht="6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ht="6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ht="6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ht="6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ht="6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ht="6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ht="6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ht="6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ht="6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ht="6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ht="6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ht="6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ht="6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ht="6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ht="6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ht="6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ht="6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ht="6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ht="6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ht="6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ht="6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ht="6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ht="6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ht="6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ht="6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ht="6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ht="6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ht="6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ht="6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ht="6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ht="6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ht="6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ht="6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ht="6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ht="6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ht="6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ht="6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ht="6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ht="6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ht="6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ht="6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ht="6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ht="6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ht="6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ht="6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ht="6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ht="6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ht="6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ht="6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ht="6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ht="6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ht="6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ht="6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ht="6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ht="6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ht="6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ht="6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ht="6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ht="6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ht="6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ht="6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ht="6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ht="6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ht="6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ht="6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ht="6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ht="6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ht="6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ht="6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ht="6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ht="6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ht="6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ht="6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ht="6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ht="6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ht="6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ht="6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ht="6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ht="6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ht="6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ht="6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ht="6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ht="6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ht="6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ht="6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ht="6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ht="6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ht="6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ht="6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ht="6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ht="6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ht="6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ht="6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ht="6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ht="6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ht="6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ht="6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ht="6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ht="6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ht="6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6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6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6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6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6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6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6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6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6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6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6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6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ht="6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ht="6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ht="6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ht="6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ht="6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ht="6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ht="6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ht="6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ht="6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6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6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6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6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6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6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ht="6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ht="6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ht="6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ht="6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ht="6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ht="6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ht="6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ht="6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ht="6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ht="6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ht="6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ht="6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ht="6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ht="6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ht="6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ht="6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ht="6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ht="6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ht="6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ht="6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ht="6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ht="6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ht="6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ht="6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ht="6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ht="6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ht="6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ht="6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ht="6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ht="6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ht="6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ht="6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ht="6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ht="6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ht="6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ht="6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ht="6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75">
    <mergeCell ref="J53:K53"/>
    <mergeCell ref="L54:M54"/>
    <mergeCell ref="L55:M55"/>
    <mergeCell ref="F56:G56"/>
    <mergeCell ref="F57:G57"/>
    <mergeCell ref="D32:E32"/>
    <mergeCell ref="D33:E33"/>
    <mergeCell ref="H49:I49"/>
    <mergeCell ref="L49:M49"/>
    <mergeCell ref="H50:I50"/>
    <mergeCell ref="L50:M50"/>
    <mergeCell ref="J52:K52"/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J28:K28"/>
    <mergeCell ref="N27:O27"/>
    <mergeCell ref="L29:M29"/>
    <mergeCell ref="P29:Q29"/>
    <mergeCell ref="L30:M30"/>
    <mergeCell ref="P30:Q30"/>
    <mergeCell ref="R31:S31"/>
    <mergeCell ref="R32:S32"/>
    <mergeCell ref="N28:O28"/>
    <mergeCell ref="N32:O32"/>
    <mergeCell ref="N33:O33"/>
    <mergeCell ref="P36:Q36"/>
    <mergeCell ref="P37:Q37"/>
    <mergeCell ref="R43:S43"/>
    <mergeCell ref="R44:S44"/>
    <mergeCell ref="L73:M73"/>
    <mergeCell ref="L74:M74"/>
    <mergeCell ref="N75:O75"/>
    <mergeCell ref="J76:K76"/>
    <mergeCell ref="N76:O76"/>
    <mergeCell ref="N51:O51"/>
    <mergeCell ref="N52:O52"/>
    <mergeCell ref="P53:Q53"/>
    <mergeCell ref="P54:Q54"/>
    <mergeCell ref="R55:S55"/>
    <mergeCell ref="R56:S56"/>
    <mergeCell ref="N57:O57"/>
    <mergeCell ref="N58:O58"/>
    <mergeCell ref="P61:Q61"/>
    <mergeCell ref="P62:Q62"/>
    <mergeCell ref="H63:I63"/>
    <mergeCell ref="H64:I64"/>
    <mergeCell ref="R67:S67"/>
    <mergeCell ref="R68:S68"/>
    <mergeCell ref="R79:S79"/>
    <mergeCell ref="R80:S80"/>
    <mergeCell ref="R91:S91"/>
    <mergeCell ref="R92:S92"/>
    <mergeCell ref="P78:Q78"/>
    <mergeCell ref="P85:Q85"/>
    <mergeCell ref="P86:Q86"/>
    <mergeCell ref="B77:B78"/>
    <mergeCell ref="J77:K77"/>
    <mergeCell ref="P77:Q77"/>
    <mergeCell ref="L78:M78"/>
    <mergeCell ref="B79:B82"/>
    <mergeCell ref="L79:M79"/>
    <mergeCell ref="B83:B84"/>
    <mergeCell ref="J99:K99"/>
    <mergeCell ref="J100:K100"/>
    <mergeCell ref="F103:G103"/>
    <mergeCell ref="F104:G104"/>
    <mergeCell ref="N81:O81"/>
    <mergeCell ref="N82:O82"/>
    <mergeCell ref="H97:I97"/>
    <mergeCell ref="L97:M97"/>
    <mergeCell ref="H98:I98"/>
    <mergeCell ref="L98:M98"/>
    <mergeCell ref="N99:O99"/>
    <mergeCell ref="L146:M146"/>
    <mergeCell ref="N147:O147"/>
    <mergeCell ref="L149:M149"/>
    <mergeCell ref="P149:Q149"/>
    <mergeCell ref="L150:M150"/>
    <mergeCell ref="P150:Q150"/>
    <mergeCell ref="R151:S151"/>
    <mergeCell ref="R152:S152"/>
    <mergeCell ref="N148:O148"/>
    <mergeCell ref="N152:O152"/>
    <mergeCell ref="N153:O153"/>
    <mergeCell ref="P157:Q157"/>
    <mergeCell ref="P158:Q158"/>
    <mergeCell ref="R163:S163"/>
    <mergeCell ref="R164:S164"/>
    <mergeCell ref="L169:M169"/>
    <mergeCell ref="L170:M170"/>
    <mergeCell ref="J171:K171"/>
    <mergeCell ref="N171:O171"/>
    <mergeCell ref="J172:K172"/>
    <mergeCell ref="N172:O172"/>
    <mergeCell ref="P173:Q173"/>
    <mergeCell ref="P174:Q174"/>
    <mergeCell ref="L173:M173"/>
    <mergeCell ref="L174:M174"/>
    <mergeCell ref="R175:S175"/>
    <mergeCell ref="N176:O176"/>
    <mergeCell ref="N177:O177"/>
    <mergeCell ref="P180:Q180"/>
    <mergeCell ref="P181:Q181"/>
    <mergeCell ref="N100:O100"/>
    <mergeCell ref="L101:M101"/>
    <mergeCell ref="P101:Q101"/>
    <mergeCell ref="L102:M102"/>
    <mergeCell ref="P102:Q102"/>
    <mergeCell ref="R103:S103"/>
    <mergeCell ref="R104:S104"/>
    <mergeCell ref="N104:O104"/>
    <mergeCell ref="N105:O105"/>
    <mergeCell ref="P108:Q108"/>
    <mergeCell ref="P109:Q109"/>
    <mergeCell ref="H110:I110"/>
    <mergeCell ref="H111:I111"/>
    <mergeCell ref="R115:S115"/>
    <mergeCell ref="R116:S116"/>
    <mergeCell ref="L121:M121"/>
    <mergeCell ref="L122:M122"/>
    <mergeCell ref="J123:K123"/>
    <mergeCell ref="N123:O123"/>
    <mergeCell ref="J124:K124"/>
    <mergeCell ref="N124:O124"/>
    <mergeCell ref="L125:M125"/>
    <mergeCell ref="P125:Q125"/>
    <mergeCell ref="D126:E126"/>
    <mergeCell ref="L126:M126"/>
    <mergeCell ref="P126:Q126"/>
    <mergeCell ref="D127:E127"/>
    <mergeCell ref="N128:O128"/>
    <mergeCell ref="N129:O129"/>
    <mergeCell ref="H145:I145"/>
    <mergeCell ref="H146:I146"/>
    <mergeCell ref="J147:K147"/>
    <mergeCell ref="J148:K148"/>
    <mergeCell ref="F151:G151"/>
    <mergeCell ref="F152:G152"/>
    <mergeCell ref="H158:I158"/>
    <mergeCell ref="H159:I159"/>
    <mergeCell ref="R127:S127"/>
    <mergeCell ref="R128:S128"/>
    <mergeCell ref="P132:Q132"/>
    <mergeCell ref="P133:Q133"/>
    <mergeCell ref="R139:S139"/>
    <mergeCell ref="R140:S140"/>
    <mergeCell ref="L145:M145"/>
    <mergeCell ref="R176:S176"/>
    <mergeCell ref="R187:S187"/>
    <mergeCell ref="R188:S18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26" width="9.89"/>
  </cols>
  <sheetData>
    <row r="1" ht="20.25" customHeight="1">
      <c r="A1" s="45" t="str">
        <f>IFERROR(__xludf.DUMMYFUNCTION("IMPORTRANGE(""https://docs.google.com/spreadsheets/d/1Bm94GoAVJoQOFSbjVte_QxQ6TSwDP3xhH4nuxAzvyBM/edit?gid=479648603#gid=479648603"",""'防禦合併'!A1:G"")"),"防禦編號")</f>
        <v>防禦編號</v>
      </c>
      <c r="B1" s="46" t="str">
        <f>IFERROR(__xludf.DUMMYFUNCTION("""COMPUTED_VALUE"""),"路徑編號")</f>
        <v>路徑編號</v>
      </c>
      <c r="C1" s="46" t="str">
        <f>IFERROR(__xludf.DUMMYFUNCTION("""COMPUTED_VALUE"""),"下限")</f>
        <v>下限</v>
      </c>
      <c r="D1" s="46" t="str">
        <f>IFERROR(__xludf.DUMMYFUNCTION("""COMPUTED_VALUE"""),"正常")</f>
        <v>正常</v>
      </c>
      <c r="E1" s="46" t="str">
        <f>IFERROR(__xludf.DUMMYFUNCTION("""COMPUTED_VALUE"""),"上限")</f>
        <v>上限</v>
      </c>
      <c r="F1" s="45" t="str">
        <f>IFERROR(__xludf.DUMMYFUNCTION("""COMPUTED_VALUE"""),"分組")</f>
        <v>分組</v>
      </c>
      <c r="G1" s="45" t="str">
        <f>IFERROR(__xludf.DUMMYFUNCTION("""COMPUTED_VALUE"""),"群組")</f>
        <v>群組</v>
      </c>
      <c r="H1" s="47"/>
      <c r="I1" s="46" t="s">
        <v>736</v>
      </c>
      <c r="J1" s="46" t="s">
        <v>737</v>
      </c>
      <c r="K1" s="46" t="s">
        <v>738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ht="20.25" customHeight="1">
      <c r="A2" s="50" t="str">
        <f>IFERROR(__xludf.DUMMYFUNCTION("""COMPUTED_VALUE"""),"D01")</f>
        <v>D01</v>
      </c>
      <c r="B2" s="51" t="str">
        <f>IFERROR(__xludf.DUMMYFUNCTION("""COMPUTED_VALUE"""),"R001")</f>
        <v>R001</v>
      </c>
      <c r="C2" s="52">
        <f>IFERROR(__xludf.DUMMYFUNCTION("""COMPUTED_VALUE"""),0.5989045145599999)</f>
        <v>0.5989045146</v>
      </c>
      <c r="D2" s="52">
        <f>IFERROR(__xludf.DUMMYFUNCTION("""COMPUTED_VALUE"""),0.6304258048)</f>
        <v>0.6304258048</v>
      </c>
      <c r="E2" s="52">
        <f>IFERROR(__xludf.DUMMYFUNCTION("""COMPUTED_VALUE"""),0.66194709504)</f>
        <v>0.661947095</v>
      </c>
      <c r="F2" s="53" t="str">
        <f>IFERROR(__xludf.DUMMYFUNCTION("""COMPUTED_VALUE"""),"Group 1")</f>
        <v>Group 1</v>
      </c>
      <c r="G2" s="53" t="str">
        <f>IFERROR(__xludf.DUMMYFUNCTION("""COMPUTED_VALUE"""),"G01")</f>
        <v>G01</v>
      </c>
      <c r="H2" s="54"/>
      <c r="I2" s="55" t="s">
        <v>102</v>
      </c>
      <c r="J2" s="56">
        <f t="shared" ref="J2:J4" si="1">VLOOKUP(I2,$B$2:$E$100,2,FALSE)</f>
        <v>0.5989045146</v>
      </c>
      <c r="K2" s="56">
        <f t="shared" ref="K2:K4" si="2">VLOOKUP(I2,$B$2:$E$100,4,FALSE)</f>
        <v>0.661947095</v>
      </c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49"/>
    </row>
    <row r="3" ht="20.25" customHeight="1">
      <c r="A3" s="58" t="str">
        <f>IFERROR(__xludf.DUMMYFUNCTION("""COMPUTED_VALUE"""),"D02")</f>
        <v>D02</v>
      </c>
      <c r="B3" s="51" t="str">
        <f>IFERROR(__xludf.DUMMYFUNCTION("""COMPUTED_VALUE"""),"R002")</f>
        <v>R002</v>
      </c>
      <c r="C3" s="52">
        <f>IFERROR(__xludf.DUMMYFUNCTION("""COMPUTED_VALUE"""),0.6805733119999997)</f>
        <v>0.680573312</v>
      </c>
      <c r="D3" s="52">
        <f>IFERROR(__xludf.DUMMYFUNCTION("""COMPUTED_VALUE"""),0.7163929599999997)</f>
        <v>0.71639296</v>
      </c>
      <c r="E3" s="52">
        <f>IFERROR(__xludf.DUMMYFUNCTION("""COMPUTED_VALUE"""),0.7522126079999998)</f>
        <v>0.752212608</v>
      </c>
      <c r="F3" s="53" t="str">
        <f>IFERROR(__xludf.DUMMYFUNCTION("""COMPUTED_VALUE"""),"Group 1")</f>
        <v>Group 1</v>
      </c>
      <c r="G3" s="53" t="str">
        <f>IFERROR(__xludf.DUMMYFUNCTION("""COMPUTED_VALUE"""),"G02")</f>
        <v>G02</v>
      </c>
      <c r="H3" s="54"/>
      <c r="I3" s="59" t="s">
        <v>32</v>
      </c>
      <c r="J3" s="60">
        <f t="shared" si="1"/>
        <v>0.680573312</v>
      </c>
      <c r="K3" s="60">
        <f t="shared" si="2"/>
        <v>0.752212608</v>
      </c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49"/>
    </row>
    <row r="4" ht="20.25" customHeight="1">
      <c r="A4" s="58" t="str">
        <f>IFERROR(__xludf.DUMMYFUNCTION("""COMPUTED_VALUE"""),"D03")</f>
        <v>D03</v>
      </c>
      <c r="B4" s="51" t="str">
        <f>IFERROR(__xludf.DUMMYFUNCTION("""COMPUTED_VALUE"""),"R003")</f>
        <v>R003</v>
      </c>
      <c r="C4" s="52">
        <f>IFERROR(__xludf.DUMMYFUNCTION("""COMPUTED_VALUE"""),0.7524000000000001)</f>
        <v>0.7524</v>
      </c>
      <c r="D4" s="52">
        <f>IFERROR(__xludf.DUMMYFUNCTION("""COMPUTED_VALUE"""),0.7920000000000001)</f>
        <v>0.792</v>
      </c>
      <c r="E4" s="52">
        <f>IFERROR(__xludf.DUMMYFUNCTION("""COMPUTED_VALUE"""),0.8316000000000002)</f>
        <v>0.8316</v>
      </c>
      <c r="F4" s="53" t="str">
        <f>IFERROR(__xludf.DUMMYFUNCTION("""COMPUTED_VALUE"""),"Group 1")</f>
        <v>Group 1</v>
      </c>
      <c r="G4" s="53" t="str">
        <f>IFERROR(__xludf.DUMMYFUNCTION("""COMPUTED_VALUE"""),"G03")</f>
        <v>G03</v>
      </c>
      <c r="H4" s="54"/>
      <c r="I4" s="55" t="s">
        <v>4</v>
      </c>
      <c r="J4" s="56">
        <f t="shared" si="1"/>
        <v>0.7524</v>
      </c>
      <c r="K4" s="56">
        <f t="shared" si="2"/>
        <v>0.8316</v>
      </c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49"/>
    </row>
    <row r="5" ht="20.25" customHeight="1">
      <c r="A5" s="58" t="str">
        <f>IFERROR(__xludf.DUMMYFUNCTION("""COMPUTED_VALUE"""),"D04")</f>
        <v>D04</v>
      </c>
      <c r="B5" s="51" t="str">
        <f>IFERROR(__xludf.DUMMYFUNCTION("""COMPUTED_VALUE"""),"R005")</f>
        <v>R005</v>
      </c>
      <c r="C5" s="52">
        <f>IFERROR(__xludf.DUMMYFUNCTION("""COMPUTED_VALUE"""),0.2499718558464)</f>
        <v>0.2499718558</v>
      </c>
      <c r="D5" s="52">
        <f>IFERROR(__xludf.DUMMYFUNCTION("""COMPUTED_VALUE"""),0.263128269312)</f>
        <v>0.2631282693</v>
      </c>
      <c r="E5" s="52">
        <f>IFERROR(__xludf.DUMMYFUNCTION("""COMPUTED_VALUE"""),0.27628468277760004)</f>
        <v>0.2762846828</v>
      </c>
      <c r="F5" s="53" t="str">
        <f>IFERROR(__xludf.DUMMYFUNCTION("""COMPUTED_VALUE"""),"Group 1")</f>
        <v>Group 1</v>
      </c>
      <c r="G5" s="53" t="str">
        <f>IFERROR(__xludf.DUMMYFUNCTION("""COMPUTED_VALUE"""),"G04")</f>
        <v>G04</v>
      </c>
      <c r="H5" s="54"/>
      <c r="I5" s="59" t="s">
        <v>51</v>
      </c>
      <c r="J5" s="60">
        <f>1-K4</f>
        <v>0.1684</v>
      </c>
      <c r="K5" s="60">
        <f>1-J4</f>
        <v>0.2476</v>
      </c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49"/>
    </row>
    <row r="6" ht="20.25" customHeight="1">
      <c r="A6" s="58" t="str">
        <f>IFERROR(__xludf.DUMMYFUNCTION("""COMPUTED_VALUE"""),"D05")</f>
        <v>D05</v>
      </c>
      <c r="B6" s="51" t="str">
        <f>IFERROR(__xludf.DUMMYFUNCTION("""COMPUTED_VALUE"""),"R006")</f>
        <v>R006</v>
      </c>
      <c r="C6" s="52">
        <f>IFERROR(__xludf.DUMMYFUNCTION("""COMPUTED_VALUE"""),0.6111007999999998)</f>
        <v>0.6111008</v>
      </c>
      <c r="D6" s="52">
        <f>IFERROR(__xludf.DUMMYFUNCTION("""COMPUTED_VALUE"""),0.6432639999999998)</f>
        <v>0.643264</v>
      </c>
      <c r="E6" s="52">
        <f>IFERROR(__xludf.DUMMYFUNCTION("""COMPUTED_VALUE"""),0.6754271999999999)</f>
        <v>0.6754272</v>
      </c>
      <c r="F6" s="53" t="str">
        <f>IFERROR(__xludf.DUMMYFUNCTION("""COMPUTED_VALUE"""),"Group 1")</f>
        <v>Group 1</v>
      </c>
      <c r="G6" s="53" t="str">
        <f>IFERROR(__xludf.DUMMYFUNCTION("""COMPUTED_VALUE"""),"G05")</f>
        <v>G05</v>
      </c>
      <c r="H6" s="54"/>
      <c r="I6" s="55" t="s">
        <v>15</v>
      </c>
      <c r="J6" s="56">
        <f t="shared" ref="J6:J7" si="3">VLOOKUP(I6,$B$2:$E$100,2,FALSE)</f>
        <v>0.2499718558</v>
      </c>
      <c r="K6" s="56">
        <f t="shared" ref="K6:K7" si="4">VLOOKUP(I6,$B$2:$E$100,4,FALSE)</f>
        <v>0.2762846828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49"/>
    </row>
    <row r="7" ht="20.25" customHeight="1">
      <c r="A7" s="58" t="str">
        <f>IFERROR(__xludf.DUMMYFUNCTION("""COMPUTED_VALUE"""),"D06")</f>
        <v>D06</v>
      </c>
      <c r="B7" s="51" t="str">
        <f>IFERROR(__xludf.DUMMYFUNCTION("""COMPUTED_VALUE"""),"R008")</f>
        <v>R008</v>
      </c>
      <c r="C7" s="52">
        <f>IFERROR(__xludf.DUMMYFUNCTION("""COMPUTED_VALUE"""),0.6998203500000001)</f>
        <v>0.69982035</v>
      </c>
      <c r="D7" s="52">
        <f>IFERROR(__xludf.DUMMYFUNCTION("""COMPUTED_VALUE"""),0.7366530000000001)</f>
        <v>0.736653</v>
      </c>
      <c r="E7" s="52">
        <f>IFERROR(__xludf.DUMMYFUNCTION("""COMPUTED_VALUE"""),0.7734856500000001)</f>
        <v>0.77348565</v>
      </c>
      <c r="F7" s="53" t="str">
        <f>IFERROR(__xludf.DUMMYFUNCTION("""COMPUTED_VALUE"""),"Group 1")</f>
        <v>Group 1</v>
      </c>
      <c r="G7" s="53" t="str">
        <f>IFERROR(__xludf.DUMMYFUNCTION("""COMPUTED_VALUE"""),"G06")</f>
        <v>G06</v>
      </c>
      <c r="H7" s="54"/>
      <c r="I7" s="59" t="s">
        <v>6</v>
      </c>
      <c r="J7" s="60">
        <f t="shared" si="3"/>
        <v>0.6111008</v>
      </c>
      <c r="K7" s="60">
        <f t="shared" si="4"/>
        <v>0.6754272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49"/>
    </row>
    <row r="8" ht="20.25" customHeight="1">
      <c r="A8" s="58" t="str">
        <f>IFERROR(__xludf.DUMMYFUNCTION("""COMPUTED_VALUE"""),"D07")</f>
        <v>D07</v>
      </c>
      <c r="B8" s="51" t="str">
        <f>IFERROR(__xludf.DUMMYFUNCTION("""COMPUTED_VALUE"""),"R010")</f>
        <v>R010</v>
      </c>
      <c r="C8" s="52">
        <f>IFERROR(__xludf.DUMMYFUNCTION("""COMPUTED_VALUE"""),0.7312729500000001)</f>
        <v>0.73127295</v>
      </c>
      <c r="D8" s="52">
        <f>IFERROR(__xludf.DUMMYFUNCTION("""COMPUTED_VALUE"""),0.7697610000000001)</f>
        <v>0.769761</v>
      </c>
      <c r="E8" s="52">
        <f>IFERROR(__xludf.DUMMYFUNCTION("""COMPUTED_VALUE"""),0.8082490500000001)</f>
        <v>0.80824905</v>
      </c>
      <c r="F8" s="53" t="str">
        <f>IFERROR(__xludf.DUMMYFUNCTION("""COMPUTED_VALUE"""),"Group 1")</f>
        <v>Group 1</v>
      </c>
      <c r="G8" s="53" t="str">
        <f>IFERROR(__xludf.DUMMYFUNCTION("""COMPUTED_VALUE"""),"G07")</f>
        <v>G07</v>
      </c>
      <c r="H8" s="54"/>
      <c r="I8" s="55" t="s">
        <v>25</v>
      </c>
      <c r="J8" s="56">
        <f>1-K7</f>
        <v>0.3245728</v>
      </c>
      <c r="K8" s="56">
        <f>1-J7</f>
        <v>0.3888992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49"/>
    </row>
    <row r="9" ht="20.25" customHeight="1">
      <c r="A9" s="58" t="str">
        <f>IFERROR(__xludf.DUMMYFUNCTION("""COMPUTED_VALUE"""),"D08")</f>
        <v>D08</v>
      </c>
      <c r="B9" s="51" t="str">
        <f>IFERROR(__xludf.DUMMYFUNCTION("""COMPUTED_VALUE"""),"R012")</f>
        <v>R012</v>
      </c>
      <c r="C9" s="52">
        <f>IFERROR(__xludf.DUMMYFUNCTION("""COMPUTED_VALUE"""),0.49248)</f>
        <v>0.49248</v>
      </c>
      <c r="D9" s="52">
        <f>IFERROR(__xludf.DUMMYFUNCTION("""COMPUTED_VALUE"""),0.5184)</f>
        <v>0.5184</v>
      </c>
      <c r="E9" s="52">
        <f>IFERROR(__xludf.DUMMYFUNCTION("""COMPUTED_VALUE"""),0.54432)</f>
        <v>0.54432</v>
      </c>
      <c r="F9" s="53" t="str">
        <f>IFERROR(__xludf.DUMMYFUNCTION("""COMPUTED_VALUE"""),"Group 1")</f>
        <v>Group 1</v>
      </c>
      <c r="G9" s="53" t="str">
        <f>IFERROR(__xludf.DUMMYFUNCTION("""COMPUTED_VALUE"""),"G08")</f>
        <v>G08</v>
      </c>
      <c r="H9" s="54"/>
      <c r="I9" s="59" t="s">
        <v>16</v>
      </c>
      <c r="J9" s="60">
        <f>VLOOKUP(I9,$B$2:$E$100,2,FALSE)</f>
        <v>0.69982035</v>
      </c>
      <c r="K9" s="60">
        <f>VLOOKUP(I9,$B$2:$E$100,4,FALSE)</f>
        <v>0.77348565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49"/>
    </row>
    <row r="10" ht="20.25" customHeight="1">
      <c r="A10" s="58" t="str">
        <f>IFERROR(__xludf.DUMMYFUNCTION("""COMPUTED_VALUE"""),"D09")</f>
        <v>D09</v>
      </c>
      <c r="B10" s="51" t="str">
        <f>IFERROR(__xludf.DUMMYFUNCTION("""COMPUTED_VALUE"""),"R013")</f>
        <v>R013</v>
      </c>
      <c r="C10" s="52">
        <f>IFERROR(__xludf.DUMMYFUNCTION("""COMPUTED_VALUE"""),0.632235362519203)</f>
        <v>0.6322353625</v>
      </c>
      <c r="D10" s="52">
        <f>IFERROR(__xludf.DUMMYFUNCTION("""COMPUTED_VALUE"""),0.6655109079149505)</f>
        <v>0.6655109079</v>
      </c>
      <c r="E10" s="52">
        <f>IFERROR(__xludf.DUMMYFUNCTION("""COMPUTED_VALUE"""),0.698786453310698)</f>
        <v>0.6987864533</v>
      </c>
      <c r="F10" s="53" t="str">
        <f>IFERROR(__xludf.DUMMYFUNCTION("""COMPUTED_VALUE"""),"Group 1")</f>
        <v>Group 1</v>
      </c>
      <c r="G10" s="53" t="str">
        <f>IFERROR(__xludf.DUMMYFUNCTION("""COMPUTED_VALUE"""),"G09")</f>
        <v>G09</v>
      </c>
      <c r="H10" s="54"/>
      <c r="I10" s="55" t="s">
        <v>37</v>
      </c>
      <c r="J10" s="56">
        <f>1-K9</f>
        <v>0.22651435</v>
      </c>
      <c r="K10" s="56">
        <f>1-J9</f>
        <v>0.30017965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49"/>
    </row>
    <row r="11" ht="20.25" customHeight="1">
      <c r="A11" s="58" t="str">
        <f>IFERROR(__xludf.DUMMYFUNCTION("""COMPUTED_VALUE"""),"D10")</f>
        <v>D10</v>
      </c>
      <c r="B11" s="51" t="str">
        <f>IFERROR(__xludf.DUMMYFUNCTION("""COMPUTED_VALUE"""),"R014")</f>
        <v>R014</v>
      </c>
      <c r="C11" s="52">
        <f>IFERROR(__xludf.DUMMYFUNCTION("""COMPUTED_VALUE"""),0.5661468)</f>
        <v>0.5661468</v>
      </c>
      <c r="D11" s="52">
        <f>IFERROR(__xludf.DUMMYFUNCTION("""COMPUTED_VALUE"""),0.595944)</f>
        <v>0.595944</v>
      </c>
      <c r="E11" s="52">
        <f>IFERROR(__xludf.DUMMYFUNCTION("""COMPUTED_VALUE"""),0.6257412000000001)</f>
        <v>0.6257412</v>
      </c>
      <c r="F11" s="53" t="str">
        <f>IFERROR(__xludf.DUMMYFUNCTION("""COMPUTED_VALUE"""),"Group 1")</f>
        <v>Group 1</v>
      </c>
      <c r="G11" s="53" t="str">
        <f>IFERROR(__xludf.DUMMYFUNCTION("""COMPUTED_VALUE"""),"G10")</f>
        <v>G10</v>
      </c>
      <c r="H11" s="54"/>
      <c r="I11" s="59" t="s">
        <v>26</v>
      </c>
      <c r="J11" s="60">
        <f>VLOOKUP(I11,$B$2:$E$100,2,FALSE)</f>
        <v>0.73127295</v>
      </c>
      <c r="K11" s="60">
        <f>VLOOKUP(I11,$B$2:$E$100,4,FALSE)</f>
        <v>0.80824905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49"/>
    </row>
    <row r="12" ht="20.25" customHeight="1">
      <c r="A12" s="58" t="str">
        <f>IFERROR(__xludf.DUMMYFUNCTION("""COMPUTED_VALUE"""),"D10")</f>
        <v>D10</v>
      </c>
      <c r="B12" s="51" t="str">
        <f>IFERROR(__xludf.DUMMYFUNCTION("""COMPUTED_VALUE"""),"R017")</f>
        <v>R017</v>
      </c>
      <c r="C12" s="52">
        <f>IFERROR(__xludf.DUMMYFUNCTION("""COMPUTED_VALUE"""),0.45291744)</f>
        <v>0.45291744</v>
      </c>
      <c r="D12" s="52">
        <f>IFERROR(__xludf.DUMMYFUNCTION("""COMPUTED_VALUE"""),0.47675520000000005)</f>
        <v>0.4767552</v>
      </c>
      <c r="E12" s="52">
        <f>IFERROR(__xludf.DUMMYFUNCTION("""COMPUTED_VALUE"""),0.5005929600000001)</f>
        <v>0.50059296</v>
      </c>
      <c r="F12" s="53" t="str">
        <f>IFERROR(__xludf.DUMMYFUNCTION("""COMPUTED_VALUE"""),"Group 2")</f>
        <v>Group 2</v>
      </c>
      <c r="G12" s="53" t="str">
        <f>IFERROR(__xludf.DUMMYFUNCTION("""COMPUTED_VALUE"""),"G11")</f>
        <v>G11</v>
      </c>
      <c r="H12" s="54"/>
      <c r="I12" s="55" t="s">
        <v>48</v>
      </c>
      <c r="J12" s="56">
        <f>1-K11</f>
        <v>0.19175095</v>
      </c>
      <c r="K12" s="56">
        <f>1-J11</f>
        <v>0.26872705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49"/>
    </row>
    <row r="13" ht="20.25" customHeight="1">
      <c r="A13" s="58" t="str">
        <f>IFERROR(__xludf.DUMMYFUNCTION("""COMPUTED_VALUE"""),"D09")</f>
        <v>D09</v>
      </c>
      <c r="B13" s="51" t="str">
        <f>IFERROR(__xludf.DUMMYFUNCTION("""COMPUTED_VALUE"""),"R020")</f>
        <v>R020</v>
      </c>
      <c r="C13" s="52">
        <f>IFERROR(__xludf.DUMMYFUNCTION("""COMPUTED_VALUE"""),0.5374000581413224)</f>
        <v>0.5374000581</v>
      </c>
      <c r="D13" s="52">
        <f>IFERROR(__xludf.DUMMYFUNCTION("""COMPUTED_VALUE"""),0.5656842717277079)</f>
        <v>0.5656842717</v>
      </c>
      <c r="E13" s="52">
        <f>IFERROR(__xludf.DUMMYFUNCTION("""COMPUTED_VALUE"""),0.5939684853140933)</f>
        <v>0.5939684853</v>
      </c>
      <c r="F13" s="53" t="str">
        <f>IFERROR(__xludf.DUMMYFUNCTION("""COMPUTED_VALUE"""),"Group 2")</f>
        <v>Group 2</v>
      </c>
      <c r="G13" s="53" t="str">
        <f>IFERROR(__xludf.DUMMYFUNCTION("""COMPUTED_VALUE"""),"G12")</f>
        <v>G12</v>
      </c>
      <c r="H13" s="54"/>
      <c r="I13" s="59" t="s">
        <v>34</v>
      </c>
      <c r="J13" s="60">
        <f t="shared" ref="J13:J15" si="5">VLOOKUP(I13,$B$2:$E$100,2,FALSE)</f>
        <v>0.49248</v>
      </c>
      <c r="K13" s="60">
        <f t="shared" ref="K13:K15" si="6">VLOOKUP(I13,$B$2:$E$100,4,FALSE)</f>
        <v>0.54432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49"/>
    </row>
    <row r="14" ht="20.25" customHeight="1">
      <c r="A14" s="58" t="str">
        <f>IFERROR(__xludf.DUMMYFUNCTION("""COMPUTED_VALUE"""),"D10")</f>
        <v>D10</v>
      </c>
      <c r="B14" s="51" t="str">
        <f>IFERROR(__xludf.DUMMYFUNCTION("""COMPUTED_VALUE"""),"R021")</f>
        <v>R021</v>
      </c>
      <c r="C14" s="52">
        <f>IFERROR(__xludf.DUMMYFUNCTION("""COMPUTED_VALUE"""),0.5661468)</f>
        <v>0.5661468</v>
      </c>
      <c r="D14" s="52">
        <f>IFERROR(__xludf.DUMMYFUNCTION("""COMPUTED_VALUE"""),0.595944)</f>
        <v>0.595944</v>
      </c>
      <c r="E14" s="52">
        <f>IFERROR(__xludf.DUMMYFUNCTION("""COMPUTED_VALUE"""),0.6257412000000001)</f>
        <v>0.6257412</v>
      </c>
      <c r="F14" s="53" t="str">
        <f>IFERROR(__xludf.DUMMYFUNCTION("""COMPUTED_VALUE"""),"Group 1")</f>
        <v>Group 1</v>
      </c>
      <c r="G14" s="53" t="str">
        <f>IFERROR(__xludf.DUMMYFUNCTION("""COMPUTED_VALUE"""),"G10")</f>
        <v>G10</v>
      </c>
      <c r="H14" s="54"/>
      <c r="I14" s="55" t="s">
        <v>22</v>
      </c>
      <c r="J14" s="56">
        <f t="shared" si="5"/>
        <v>0.6322353625</v>
      </c>
      <c r="K14" s="56">
        <f t="shared" si="6"/>
        <v>0.6987864533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49"/>
    </row>
    <row r="15" ht="20.25" customHeight="1">
      <c r="A15" s="58" t="str">
        <f>IFERROR(__xludf.DUMMYFUNCTION("""COMPUTED_VALUE"""),"D10")</f>
        <v>D10</v>
      </c>
      <c r="B15" s="51" t="str">
        <f>IFERROR(__xludf.DUMMYFUNCTION("""COMPUTED_VALUE"""),"R024")</f>
        <v>R024</v>
      </c>
      <c r="C15" s="52">
        <f>IFERROR(__xludf.DUMMYFUNCTION("""COMPUTED_VALUE"""),0.45291744)</f>
        <v>0.45291744</v>
      </c>
      <c r="D15" s="52">
        <f>IFERROR(__xludf.DUMMYFUNCTION("""COMPUTED_VALUE"""),0.47675520000000005)</f>
        <v>0.4767552</v>
      </c>
      <c r="E15" s="52">
        <f>IFERROR(__xludf.DUMMYFUNCTION("""COMPUTED_VALUE"""),0.5005929600000001)</f>
        <v>0.50059296</v>
      </c>
      <c r="F15" s="53" t="str">
        <f>IFERROR(__xludf.DUMMYFUNCTION("""COMPUTED_VALUE"""),"Group 2")</f>
        <v>Group 2</v>
      </c>
      <c r="G15" s="53" t="str">
        <f>IFERROR(__xludf.DUMMYFUNCTION("""COMPUTED_VALUE"""),"G11")</f>
        <v>G11</v>
      </c>
      <c r="H15" s="54"/>
      <c r="I15" s="59" t="s">
        <v>13</v>
      </c>
      <c r="J15" s="60">
        <f t="shared" si="5"/>
        <v>0.5661468</v>
      </c>
      <c r="K15" s="60">
        <f t="shared" si="6"/>
        <v>0.6257412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49"/>
    </row>
    <row r="16" ht="20.25" customHeight="1">
      <c r="A16" s="58" t="str">
        <f>IFERROR(__xludf.DUMMYFUNCTION("""COMPUTED_VALUE"""),"D05")</f>
        <v>D05</v>
      </c>
      <c r="B16" s="51" t="str">
        <f>IFERROR(__xludf.DUMMYFUNCTION("""COMPUTED_VALUE"""),"R027")</f>
        <v>R027</v>
      </c>
      <c r="C16" s="52">
        <f>IFERROR(__xludf.DUMMYFUNCTION("""COMPUTED_VALUE"""),0.6111007999999998)</f>
        <v>0.6111008</v>
      </c>
      <c r="D16" s="52">
        <f>IFERROR(__xludf.DUMMYFUNCTION("""COMPUTED_VALUE"""),0.6432639999999998)</f>
        <v>0.643264</v>
      </c>
      <c r="E16" s="52">
        <f>IFERROR(__xludf.DUMMYFUNCTION("""COMPUTED_VALUE"""),0.6754271999999999)</f>
        <v>0.6754272</v>
      </c>
      <c r="F16" s="53" t="str">
        <f>IFERROR(__xludf.DUMMYFUNCTION("""COMPUTED_VALUE"""),"Group 1")</f>
        <v>Group 1</v>
      </c>
      <c r="G16" s="53" t="str">
        <f>IFERROR(__xludf.DUMMYFUNCTION("""COMPUTED_VALUE"""),"G05")</f>
        <v>G05</v>
      </c>
      <c r="H16" s="54"/>
      <c r="I16" s="55" t="s">
        <v>28</v>
      </c>
      <c r="J16" s="56">
        <f>1-K15</f>
        <v>0.3742588</v>
      </c>
      <c r="K16" s="56">
        <f>1-J15</f>
        <v>0.4338532</v>
      </c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49"/>
    </row>
    <row r="17" ht="20.25" customHeight="1">
      <c r="A17" s="58" t="str">
        <f>IFERROR(__xludf.DUMMYFUNCTION("""COMPUTED_VALUE"""),"D06")</f>
        <v>D06</v>
      </c>
      <c r="B17" s="51" t="str">
        <f>IFERROR(__xludf.DUMMYFUNCTION("""COMPUTED_VALUE"""),"R029")</f>
        <v>R029</v>
      </c>
      <c r="C17" s="52">
        <f>IFERROR(__xludf.DUMMYFUNCTION("""COMPUTED_VALUE"""),0.6998203500000001)</f>
        <v>0.69982035</v>
      </c>
      <c r="D17" s="52">
        <f>IFERROR(__xludf.DUMMYFUNCTION("""COMPUTED_VALUE"""),0.7366530000000001)</f>
        <v>0.736653</v>
      </c>
      <c r="E17" s="52">
        <f>IFERROR(__xludf.DUMMYFUNCTION("""COMPUTED_VALUE"""),0.7734856500000001)</f>
        <v>0.77348565</v>
      </c>
      <c r="F17" s="53" t="str">
        <f>IFERROR(__xludf.DUMMYFUNCTION("""COMPUTED_VALUE"""),"Group 1")</f>
        <v>Group 1</v>
      </c>
      <c r="G17" s="53" t="str">
        <f>IFERROR(__xludf.DUMMYFUNCTION("""COMPUTED_VALUE"""),"G06")</f>
        <v>G06</v>
      </c>
      <c r="H17" s="54"/>
      <c r="I17" s="59" t="s">
        <v>41</v>
      </c>
      <c r="J17" s="60">
        <f>1-K14</f>
        <v>0.3012135467</v>
      </c>
      <c r="K17" s="60">
        <f>1-J14</f>
        <v>0.3677646375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49"/>
    </row>
    <row r="18" ht="20.25" customHeight="1">
      <c r="A18" s="58" t="str">
        <f>IFERROR(__xludf.DUMMYFUNCTION("""COMPUTED_VALUE"""),"D07")</f>
        <v>D07</v>
      </c>
      <c r="B18" s="51" t="str">
        <f>IFERROR(__xludf.DUMMYFUNCTION("""COMPUTED_VALUE"""),"R031")</f>
        <v>R031</v>
      </c>
      <c r="C18" s="52">
        <f>IFERROR(__xludf.DUMMYFUNCTION("""COMPUTED_VALUE"""),0.7312729500000001)</f>
        <v>0.73127295</v>
      </c>
      <c r="D18" s="52">
        <f>IFERROR(__xludf.DUMMYFUNCTION("""COMPUTED_VALUE"""),0.7697610000000001)</f>
        <v>0.769761</v>
      </c>
      <c r="E18" s="52">
        <f>IFERROR(__xludf.DUMMYFUNCTION("""COMPUTED_VALUE"""),0.8082490500000001)</f>
        <v>0.80824905</v>
      </c>
      <c r="F18" s="53" t="str">
        <f>IFERROR(__xludf.DUMMYFUNCTION("""COMPUTED_VALUE"""),"Group 1")</f>
        <v>Group 1</v>
      </c>
      <c r="G18" s="53" t="str">
        <f>IFERROR(__xludf.DUMMYFUNCTION("""COMPUTED_VALUE"""),"G07")</f>
        <v>G07</v>
      </c>
      <c r="H18" s="54"/>
      <c r="I18" s="55" t="s">
        <v>38</v>
      </c>
      <c r="J18" s="56">
        <f>VLOOKUP(I18,$B$2:$E$100,2,FALSE)</f>
        <v>0.45291744</v>
      </c>
      <c r="K18" s="56">
        <f>VLOOKUP(I18,$B$2:$E$100,4,FALSE)</f>
        <v>0.50059296</v>
      </c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49"/>
    </row>
    <row r="19" ht="20.25" customHeight="1">
      <c r="A19" s="58" t="str">
        <f>IFERROR(__xludf.DUMMYFUNCTION("""COMPUTED_VALUE"""),"D08")</f>
        <v>D08</v>
      </c>
      <c r="B19" s="51" t="str">
        <f>IFERROR(__xludf.DUMMYFUNCTION("""COMPUTED_VALUE"""),"R033")</f>
        <v>R033</v>
      </c>
      <c r="C19" s="52">
        <f>IFERROR(__xludf.DUMMYFUNCTION("""COMPUTED_VALUE"""),0.24624)</f>
        <v>0.24624</v>
      </c>
      <c r="D19" s="52">
        <f>IFERROR(__xludf.DUMMYFUNCTION("""COMPUTED_VALUE"""),0.2592)</f>
        <v>0.2592</v>
      </c>
      <c r="E19" s="52">
        <f>IFERROR(__xludf.DUMMYFUNCTION("""COMPUTED_VALUE"""),0.27216)</f>
        <v>0.27216</v>
      </c>
      <c r="F19" s="53" t="str">
        <f>IFERROR(__xludf.DUMMYFUNCTION("""COMPUTED_VALUE"""),"Group 2")</f>
        <v>Group 2</v>
      </c>
      <c r="G19" s="53" t="str">
        <f>IFERROR(__xludf.DUMMYFUNCTION("""COMPUTED_VALUE"""),"G13")</f>
        <v>G13</v>
      </c>
      <c r="H19" s="54"/>
      <c r="I19" s="59" t="s">
        <v>44</v>
      </c>
      <c r="J19" s="60">
        <f>1-K18</f>
        <v>0.49940704</v>
      </c>
      <c r="K19" s="60">
        <f>1-J18</f>
        <v>0.54708256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49"/>
    </row>
    <row r="20" ht="20.25" customHeight="1">
      <c r="A20" s="58" t="str">
        <f>IFERROR(__xludf.DUMMYFUNCTION("""COMPUTED_VALUE"""),"D09")</f>
        <v>D09</v>
      </c>
      <c r="B20" s="51" t="str">
        <f>IFERROR(__xludf.DUMMYFUNCTION("""COMPUTED_VALUE"""),"R034")</f>
        <v>R034</v>
      </c>
      <c r="C20" s="52">
        <f>IFERROR(__xludf.DUMMYFUNCTION("""COMPUTED_VALUE"""),0.632235362519203)</f>
        <v>0.6322353625</v>
      </c>
      <c r="D20" s="52">
        <f>IFERROR(__xludf.DUMMYFUNCTION("""COMPUTED_VALUE"""),0.6655109079149505)</f>
        <v>0.6655109079</v>
      </c>
      <c r="E20" s="52">
        <f>IFERROR(__xludf.DUMMYFUNCTION("""COMPUTED_VALUE"""),0.698786453310698)</f>
        <v>0.6987864533</v>
      </c>
      <c r="F20" s="53" t="str">
        <f>IFERROR(__xludf.DUMMYFUNCTION("""COMPUTED_VALUE"""),"Group 1")</f>
        <v>Group 1</v>
      </c>
      <c r="G20" s="53" t="str">
        <f>IFERROR(__xludf.DUMMYFUNCTION("""COMPUTED_VALUE"""),"G09")</f>
        <v>G09</v>
      </c>
      <c r="H20" s="54"/>
      <c r="I20" s="55" t="s">
        <v>61</v>
      </c>
      <c r="J20" s="56">
        <f>1-K13</f>
        <v>0.45568</v>
      </c>
      <c r="K20" s="56">
        <f>1-J13</f>
        <v>0.50752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49"/>
    </row>
    <row r="21" ht="20.25" customHeight="1">
      <c r="A21" s="58" t="str">
        <f>IFERROR(__xludf.DUMMYFUNCTION("""COMPUTED_VALUE"""),"D10")</f>
        <v>D10</v>
      </c>
      <c r="B21" s="51" t="str">
        <f>IFERROR(__xludf.DUMMYFUNCTION("""COMPUTED_VALUE"""),"R035")</f>
        <v>R035</v>
      </c>
      <c r="C21" s="52">
        <f>IFERROR(__xludf.DUMMYFUNCTION("""COMPUTED_VALUE"""),0.5661468)</f>
        <v>0.5661468</v>
      </c>
      <c r="D21" s="52">
        <f>IFERROR(__xludf.DUMMYFUNCTION("""COMPUTED_VALUE"""),0.595944)</f>
        <v>0.595944</v>
      </c>
      <c r="E21" s="52">
        <f>IFERROR(__xludf.DUMMYFUNCTION("""COMPUTED_VALUE"""),0.6257412000000001)</f>
        <v>0.6257412</v>
      </c>
      <c r="F21" s="53" t="str">
        <f>IFERROR(__xludf.DUMMYFUNCTION("""COMPUTED_VALUE"""),"Group 1")</f>
        <v>Group 1</v>
      </c>
      <c r="G21" s="53" t="str">
        <f>IFERROR(__xludf.DUMMYFUNCTION("""COMPUTED_VALUE"""),"G10")</f>
        <v>G10</v>
      </c>
      <c r="H21" s="54"/>
      <c r="I21" s="59" t="s">
        <v>55</v>
      </c>
      <c r="J21" s="60">
        <f t="shared" ref="J21:J22" si="7">VLOOKUP(I21,$B$2:$E$100,2,FALSE)</f>
        <v>0.5374000581</v>
      </c>
      <c r="K21" s="60">
        <f t="shared" ref="K21:K22" si="8">VLOOKUP(I21,$B$2:$E$100,4,FALSE)</f>
        <v>0.5939684853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49"/>
    </row>
    <row r="22" ht="20.25" customHeight="1">
      <c r="A22" s="58" t="str">
        <f>IFERROR(__xludf.DUMMYFUNCTION("""COMPUTED_VALUE"""),"D10")</f>
        <v>D10</v>
      </c>
      <c r="B22" s="51" t="str">
        <f>IFERROR(__xludf.DUMMYFUNCTION("""COMPUTED_VALUE"""),"R038")</f>
        <v>R038</v>
      </c>
      <c r="C22" s="52">
        <f>IFERROR(__xludf.DUMMYFUNCTION("""COMPUTED_VALUE"""),0.45291744)</f>
        <v>0.45291744</v>
      </c>
      <c r="D22" s="52">
        <f>IFERROR(__xludf.DUMMYFUNCTION("""COMPUTED_VALUE"""),0.47675520000000005)</f>
        <v>0.4767552</v>
      </c>
      <c r="E22" s="52">
        <f>IFERROR(__xludf.DUMMYFUNCTION("""COMPUTED_VALUE"""),0.5005929600000001)</f>
        <v>0.50059296</v>
      </c>
      <c r="F22" s="53" t="str">
        <f>IFERROR(__xludf.DUMMYFUNCTION("""COMPUTED_VALUE"""),"Group 2")</f>
        <v>Group 2</v>
      </c>
      <c r="G22" s="53" t="str">
        <f>IFERROR(__xludf.DUMMYFUNCTION("""COMPUTED_VALUE"""),"G11")</f>
        <v>G11</v>
      </c>
      <c r="H22" s="54"/>
      <c r="I22" s="55" t="s">
        <v>52</v>
      </c>
      <c r="J22" s="56">
        <f t="shared" si="7"/>
        <v>0.5661468</v>
      </c>
      <c r="K22" s="56">
        <f t="shared" si="8"/>
        <v>0.6257412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49"/>
    </row>
    <row r="23" ht="20.25" customHeight="1">
      <c r="A23" s="58" t="str">
        <f>IFERROR(__xludf.DUMMYFUNCTION("""COMPUTED_VALUE"""),"D09")</f>
        <v>D09</v>
      </c>
      <c r="B23" s="51" t="str">
        <f>IFERROR(__xludf.DUMMYFUNCTION("""COMPUTED_VALUE"""),"R041")</f>
        <v>R041</v>
      </c>
      <c r="C23" s="52">
        <f>IFERROR(__xludf.DUMMYFUNCTION("""COMPUTED_VALUE"""),0.5374000581413224)</f>
        <v>0.5374000581</v>
      </c>
      <c r="D23" s="52">
        <f>IFERROR(__xludf.DUMMYFUNCTION("""COMPUTED_VALUE"""),0.5656842717277079)</f>
        <v>0.5656842717</v>
      </c>
      <c r="E23" s="52">
        <f>IFERROR(__xludf.DUMMYFUNCTION("""COMPUTED_VALUE"""),0.5939684853140933)</f>
        <v>0.5939684853</v>
      </c>
      <c r="F23" s="53" t="str">
        <f>IFERROR(__xludf.DUMMYFUNCTION("""COMPUTED_VALUE"""),"Group 2")</f>
        <v>Group 2</v>
      </c>
      <c r="G23" s="53" t="str">
        <f>IFERROR(__xludf.DUMMYFUNCTION("""COMPUTED_VALUE"""),"G12")</f>
        <v>G12</v>
      </c>
      <c r="H23" s="54"/>
      <c r="I23" s="59" t="s">
        <v>58</v>
      </c>
      <c r="J23" s="60">
        <f>1-K22</f>
        <v>0.3742588</v>
      </c>
      <c r="K23" s="60">
        <f>1-J22</f>
        <v>0.4338532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49"/>
    </row>
    <row r="24" ht="20.25" customHeight="1">
      <c r="A24" s="58" t="str">
        <f>IFERROR(__xludf.DUMMYFUNCTION("""COMPUTED_VALUE"""),"D10")</f>
        <v>D10</v>
      </c>
      <c r="B24" s="51" t="str">
        <f>IFERROR(__xludf.DUMMYFUNCTION("""COMPUTED_VALUE"""),"R042")</f>
        <v>R042</v>
      </c>
      <c r="C24" s="52">
        <f>IFERROR(__xludf.DUMMYFUNCTION("""COMPUTED_VALUE"""),0.5661468)</f>
        <v>0.5661468</v>
      </c>
      <c r="D24" s="52">
        <f>IFERROR(__xludf.DUMMYFUNCTION("""COMPUTED_VALUE"""),0.595944)</f>
        <v>0.595944</v>
      </c>
      <c r="E24" s="52">
        <f>IFERROR(__xludf.DUMMYFUNCTION("""COMPUTED_VALUE"""),0.6257412000000001)</f>
        <v>0.6257412</v>
      </c>
      <c r="F24" s="53" t="str">
        <f>IFERROR(__xludf.DUMMYFUNCTION("""COMPUTED_VALUE"""),"Group 1")</f>
        <v>Group 1</v>
      </c>
      <c r="G24" s="53" t="str">
        <f>IFERROR(__xludf.DUMMYFUNCTION("""COMPUTED_VALUE"""),"G10")</f>
        <v>G10</v>
      </c>
      <c r="H24" s="54"/>
      <c r="I24" s="55" t="s">
        <v>67</v>
      </c>
      <c r="J24" s="56">
        <f>1-K21</f>
        <v>0.4060315147</v>
      </c>
      <c r="K24" s="56">
        <f>1-J21</f>
        <v>0.4625999419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49"/>
    </row>
    <row r="25" ht="20.25" customHeight="1">
      <c r="A25" s="58" t="str">
        <f>IFERROR(__xludf.DUMMYFUNCTION("""COMPUTED_VALUE"""),"D10")</f>
        <v>D10</v>
      </c>
      <c r="B25" s="51" t="str">
        <f>IFERROR(__xludf.DUMMYFUNCTION("""COMPUTED_VALUE"""),"R045")</f>
        <v>R045</v>
      </c>
      <c r="C25" s="52">
        <f>IFERROR(__xludf.DUMMYFUNCTION("""COMPUTED_VALUE"""),0.45291744)</f>
        <v>0.45291744</v>
      </c>
      <c r="D25" s="52">
        <f>IFERROR(__xludf.DUMMYFUNCTION("""COMPUTED_VALUE"""),0.47675520000000005)</f>
        <v>0.4767552</v>
      </c>
      <c r="E25" s="52">
        <f>IFERROR(__xludf.DUMMYFUNCTION("""COMPUTED_VALUE"""),0.5005929600000001)</f>
        <v>0.50059296</v>
      </c>
      <c r="F25" s="53" t="str">
        <f>IFERROR(__xludf.DUMMYFUNCTION("""COMPUTED_VALUE"""),"Group 2")</f>
        <v>Group 2</v>
      </c>
      <c r="G25" s="53" t="str">
        <f>IFERROR(__xludf.DUMMYFUNCTION("""COMPUTED_VALUE"""),"G11")</f>
        <v>G11</v>
      </c>
      <c r="H25" s="54"/>
      <c r="I25" s="59" t="s">
        <v>64</v>
      </c>
      <c r="J25" s="60">
        <f>VLOOKUP(I25,$B$2:$E$100,2,FALSE)</f>
        <v>0.45291744</v>
      </c>
      <c r="K25" s="60">
        <f>VLOOKUP(I25,$B$2:$E$100,4,FALSE)</f>
        <v>0.50059296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49"/>
    </row>
    <row r="26" ht="20.25" customHeight="1">
      <c r="A26" s="58" t="str">
        <f>IFERROR(__xludf.DUMMYFUNCTION("""COMPUTED_VALUE"""),"D03")</f>
        <v>D03</v>
      </c>
      <c r="B26" s="51" t="str">
        <f>IFERROR(__xludf.DUMMYFUNCTION("""COMPUTED_VALUE"""),"R048")</f>
        <v>R048</v>
      </c>
      <c r="C26" s="52">
        <f>IFERROR(__xludf.DUMMYFUNCTION("""COMPUTED_VALUE"""),0.22572000000000003)</f>
        <v>0.22572</v>
      </c>
      <c r="D26" s="52">
        <f>IFERROR(__xludf.DUMMYFUNCTION("""COMPUTED_VALUE"""),0.23760000000000003)</f>
        <v>0.2376</v>
      </c>
      <c r="E26" s="52">
        <f>IFERROR(__xludf.DUMMYFUNCTION("""COMPUTED_VALUE"""),0.24948000000000004)</f>
        <v>0.24948</v>
      </c>
      <c r="F26" s="53" t="str">
        <f>IFERROR(__xludf.DUMMYFUNCTION("""COMPUTED_VALUE"""),"Group 2")</f>
        <v>Group 2</v>
      </c>
      <c r="G26" s="53" t="str">
        <f>IFERROR(__xludf.DUMMYFUNCTION("""COMPUTED_VALUE"""),"G14")</f>
        <v>G14</v>
      </c>
      <c r="H26" s="54"/>
      <c r="I26" s="55" t="s">
        <v>72</v>
      </c>
      <c r="J26" s="56">
        <f>1-K25</f>
        <v>0.49940704</v>
      </c>
      <c r="K26" s="56">
        <f>1-J25</f>
        <v>0.54708256</v>
      </c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49"/>
    </row>
    <row r="27" ht="20.25" customHeight="1">
      <c r="A27" s="58" t="str">
        <f>IFERROR(__xludf.DUMMYFUNCTION("""COMPUTED_VALUE"""),"D04")</f>
        <v>D04</v>
      </c>
      <c r="B27" s="51" t="str">
        <f>IFERROR(__xludf.DUMMYFUNCTION("""COMPUTED_VALUE"""),"R050")</f>
        <v>R050</v>
      </c>
      <c r="C27" s="52">
        <f>IFERROR(__xludf.DUMMYFUNCTION("""COMPUTED_VALUE"""),0.19660707763199997)</f>
        <v>0.1966070776</v>
      </c>
      <c r="D27" s="52">
        <f>IFERROR(__xludf.DUMMYFUNCTION("""COMPUTED_VALUE"""),0.20695481855999998)</f>
        <v>0.2069548186</v>
      </c>
      <c r="E27" s="52">
        <f>IFERROR(__xludf.DUMMYFUNCTION("""COMPUTED_VALUE"""),0.21730255948799998)</f>
        <v>0.2173025595</v>
      </c>
      <c r="F27" s="53" t="str">
        <f>IFERROR(__xludf.DUMMYFUNCTION("""COMPUTED_VALUE"""),"Group 2")</f>
        <v>Group 2</v>
      </c>
      <c r="G27" s="53" t="str">
        <f>IFERROR(__xludf.DUMMYFUNCTION("""COMPUTED_VALUE"""),"G15")</f>
        <v>G15</v>
      </c>
      <c r="H27" s="54"/>
      <c r="I27" s="59" t="s">
        <v>81</v>
      </c>
      <c r="J27" s="60">
        <f>1-K6</f>
        <v>0.7237153172</v>
      </c>
      <c r="K27" s="60">
        <f>1-J6</f>
        <v>0.7500281442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49"/>
    </row>
    <row r="28" ht="20.25" customHeight="1">
      <c r="A28" s="58" t="str">
        <f>IFERROR(__xludf.DUMMYFUNCTION("""COMPUTED_VALUE"""),"D05")</f>
        <v>D05</v>
      </c>
      <c r="B28" s="51" t="str">
        <f>IFERROR(__xludf.DUMMYFUNCTION("""COMPUTED_VALUE"""),"R051")</f>
        <v>R051</v>
      </c>
      <c r="C28" s="52">
        <f>IFERROR(__xludf.DUMMYFUNCTION("""COMPUTED_VALUE"""),0.6111007999999998)</f>
        <v>0.6111008</v>
      </c>
      <c r="D28" s="52">
        <f>IFERROR(__xludf.DUMMYFUNCTION("""COMPUTED_VALUE"""),0.6432639999999998)</f>
        <v>0.643264</v>
      </c>
      <c r="E28" s="52">
        <f>IFERROR(__xludf.DUMMYFUNCTION("""COMPUTED_VALUE"""),0.6754271999999999)</f>
        <v>0.6754272</v>
      </c>
      <c r="F28" s="53" t="str">
        <f>IFERROR(__xludf.DUMMYFUNCTION("""COMPUTED_VALUE"""),"Group 1")</f>
        <v>Group 1</v>
      </c>
      <c r="G28" s="53" t="str">
        <f>IFERROR(__xludf.DUMMYFUNCTION("""COMPUTED_VALUE"""),"G05")</f>
        <v>G05</v>
      </c>
      <c r="H28" s="54"/>
      <c r="I28" s="55" t="s">
        <v>74</v>
      </c>
      <c r="J28" s="56">
        <f>VLOOKUP(I28,$B$2:$E$100,2,FALSE)</f>
        <v>0.6111008</v>
      </c>
      <c r="K28" s="56">
        <f>VLOOKUP(I28,$B$2:$E$100,4,FALSE)</f>
        <v>0.6754272</v>
      </c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49"/>
    </row>
    <row r="29" ht="20.25" customHeight="1">
      <c r="A29" s="58" t="str">
        <f>IFERROR(__xludf.DUMMYFUNCTION("""COMPUTED_VALUE"""),"D06")</f>
        <v>D06</v>
      </c>
      <c r="B29" s="51" t="str">
        <f>IFERROR(__xludf.DUMMYFUNCTION("""COMPUTED_VALUE"""),"R053")</f>
        <v>R053</v>
      </c>
      <c r="C29" s="52">
        <f>IFERROR(__xludf.DUMMYFUNCTION("""COMPUTED_VALUE"""),0.6998203500000001)</f>
        <v>0.69982035</v>
      </c>
      <c r="D29" s="52">
        <f>IFERROR(__xludf.DUMMYFUNCTION("""COMPUTED_VALUE"""),0.7366530000000001)</f>
        <v>0.736653</v>
      </c>
      <c r="E29" s="52">
        <f>IFERROR(__xludf.DUMMYFUNCTION("""COMPUTED_VALUE"""),0.7734856500000001)</f>
        <v>0.77348565</v>
      </c>
      <c r="F29" s="53" t="str">
        <f>IFERROR(__xludf.DUMMYFUNCTION("""COMPUTED_VALUE"""),"Group 1")</f>
        <v>Group 1</v>
      </c>
      <c r="G29" s="53" t="str">
        <f>IFERROR(__xludf.DUMMYFUNCTION("""COMPUTED_VALUE"""),"G06")</f>
        <v>G06</v>
      </c>
      <c r="H29" s="54"/>
      <c r="I29" s="59" t="s">
        <v>91</v>
      </c>
      <c r="J29" s="60">
        <f>1-K28</f>
        <v>0.3245728</v>
      </c>
      <c r="K29" s="60">
        <f>1-J28</f>
        <v>0.3888992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49"/>
    </row>
    <row r="30" ht="20.25" customHeight="1">
      <c r="A30" s="58" t="str">
        <f>IFERROR(__xludf.DUMMYFUNCTION("""COMPUTED_VALUE"""),"D07")</f>
        <v>D07</v>
      </c>
      <c r="B30" s="51" t="str">
        <f>IFERROR(__xludf.DUMMYFUNCTION("""COMPUTED_VALUE"""),"R055")</f>
        <v>R055</v>
      </c>
      <c r="C30" s="52">
        <f>IFERROR(__xludf.DUMMYFUNCTION("""COMPUTED_VALUE"""),0.7312729500000001)</f>
        <v>0.73127295</v>
      </c>
      <c r="D30" s="52">
        <f>IFERROR(__xludf.DUMMYFUNCTION("""COMPUTED_VALUE"""),0.7697610000000001)</f>
        <v>0.769761</v>
      </c>
      <c r="E30" s="52">
        <f>IFERROR(__xludf.DUMMYFUNCTION("""COMPUTED_VALUE"""),0.8082490500000001)</f>
        <v>0.80824905</v>
      </c>
      <c r="F30" s="53" t="str">
        <f>IFERROR(__xludf.DUMMYFUNCTION("""COMPUTED_VALUE"""),"Group 1")</f>
        <v>Group 1</v>
      </c>
      <c r="G30" s="53" t="str">
        <f>IFERROR(__xludf.DUMMYFUNCTION("""COMPUTED_VALUE"""),"G07")</f>
        <v>G07</v>
      </c>
      <c r="H30" s="54"/>
      <c r="I30" s="55" t="s">
        <v>82</v>
      </c>
      <c r="J30" s="56">
        <f>VLOOKUP(I30,$B$2:$E$100,2,FALSE)</f>
        <v>0.69982035</v>
      </c>
      <c r="K30" s="56">
        <f>VLOOKUP(I30,$B$2:$E$100,4,FALSE)</f>
        <v>0.77348565</v>
      </c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49"/>
    </row>
    <row r="31" ht="20.25" customHeight="1">
      <c r="A31" s="58" t="str">
        <f>IFERROR(__xludf.DUMMYFUNCTION("""COMPUTED_VALUE"""),"D08")</f>
        <v>D08</v>
      </c>
      <c r="B31" s="51" t="str">
        <f>IFERROR(__xludf.DUMMYFUNCTION("""COMPUTED_VALUE"""),"R057")</f>
        <v>R057</v>
      </c>
      <c r="C31" s="52">
        <f>IFERROR(__xludf.DUMMYFUNCTION("""COMPUTED_VALUE"""),0.49248)</f>
        <v>0.49248</v>
      </c>
      <c r="D31" s="52">
        <f>IFERROR(__xludf.DUMMYFUNCTION("""COMPUTED_VALUE"""),0.5184)</f>
        <v>0.5184</v>
      </c>
      <c r="E31" s="52">
        <f>IFERROR(__xludf.DUMMYFUNCTION("""COMPUTED_VALUE"""),0.54432)</f>
        <v>0.54432</v>
      </c>
      <c r="F31" s="53" t="str">
        <f>IFERROR(__xludf.DUMMYFUNCTION("""COMPUTED_VALUE"""),"Group 1")</f>
        <v>Group 1</v>
      </c>
      <c r="G31" s="53" t="str">
        <f>IFERROR(__xludf.DUMMYFUNCTION("""COMPUTED_VALUE"""),"G08")</f>
        <v>G08</v>
      </c>
      <c r="H31" s="54"/>
      <c r="I31" s="59" t="s">
        <v>103</v>
      </c>
      <c r="J31" s="60">
        <f>1-K30</f>
        <v>0.22651435</v>
      </c>
      <c r="K31" s="60">
        <f>1-J30</f>
        <v>0.30017965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49"/>
    </row>
    <row r="32" ht="20.25" customHeight="1">
      <c r="A32" s="58" t="str">
        <f>IFERROR(__xludf.DUMMYFUNCTION("""COMPUTED_VALUE"""),"D09")</f>
        <v>D09</v>
      </c>
      <c r="B32" s="51" t="str">
        <f>IFERROR(__xludf.DUMMYFUNCTION("""COMPUTED_VALUE"""),"R058")</f>
        <v>R058</v>
      </c>
      <c r="C32" s="52">
        <f>IFERROR(__xludf.DUMMYFUNCTION("""COMPUTED_VALUE"""),0.632235362519203)</f>
        <v>0.6322353625</v>
      </c>
      <c r="D32" s="52">
        <f>IFERROR(__xludf.DUMMYFUNCTION("""COMPUTED_VALUE"""),0.6655109079149505)</f>
        <v>0.6655109079</v>
      </c>
      <c r="E32" s="52">
        <f>IFERROR(__xludf.DUMMYFUNCTION("""COMPUTED_VALUE"""),0.698786453310698)</f>
        <v>0.6987864533</v>
      </c>
      <c r="F32" s="53" t="str">
        <f>IFERROR(__xludf.DUMMYFUNCTION("""COMPUTED_VALUE"""),"Group 1")</f>
        <v>Group 1</v>
      </c>
      <c r="G32" s="53" t="str">
        <f>IFERROR(__xludf.DUMMYFUNCTION("""COMPUTED_VALUE"""),"G09")</f>
        <v>G09</v>
      </c>
      <c r="H32" s="54"/>
      <c r="I32" s="55" t="s">
        <v>92</v>
      </c>
      <c r="J32" s="56">
        <f>VLOOKUP(I32,$B$2:$E$100,2,FALSE)</f>
        <v>0.73127295</v>
      </c>
      <c r="K32" s="56">
        <f>VLOOKUP(I32,$B$2:$E$100,4,FALSE)</f>
        <v>0.80824905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49"/>
    </row>
    <row r="33" ht="20.25" customHeight="1">
      <c r="A33" s="58" t="str">
        <f>IFERROR(__xludf.DUMMYFUNCTION("""COMPUTED_VALUE"""),"D10")</f>
        <v>D10</v>
      </c>
      <c r="B33" s="51" t="str">
        <f>IFERROR(__xludf.DUMMYFUNCTION("""COMPUTED_VALUE"""),"R059")</f>
        <v>R059</v>
      </c>
      <c r="C33" s="52">
        <f>IFERROR(__xludf.DUMMYFUNCTION("""COMPUTED_VALUE"""),0.5661468)</f>
        <v>0.5661468</v>
      </c>
      <c r="D33" s="52">
        <f>IFERROR(__xludf.DUMMYFUNCTION("""COMPUTED_VALUE"""),0.595944)</f>
        <v>0.595944</v>
      </c>
      <c r="E33" s="52">
        <f>IFERROR(__xludf.DUMMYFUNCTION("""COMPUTED_VALUE"""),0.6257412000000001)</f>
        <v>0.6257412</v>
      </c>
      <c r="F33" s="53" t="str">
        <f>IFERROR(__xludf.DUMMYFUNCTION("""COMPUTED_VALUE"""),"Group 1")</f>
        <v>Group 1</v>
      </c>
      <c r="G33" s="53" t="str">
        <f>IFERROR(__xludf.DUMMYFUNCTION("""COMPUTED_VALUE"""),"G10")</f>
        <v>G10</v>
      </c>
      <c r="H33" s="54"/>
      <c r="I33" s="59" t="s">
        <v>113</v>
      </c>
      <c r="J33" s="60">
        <f>1-K32</f>
        <v>0.19175095</v>
      </c>
      <c r="K33" s="60">
        <f>1-J32</f>
        <v>0.26872705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49"/>
    </row>
    <row r="34" ht="20.25" customHeight="1">
      <c r="A34" s="58" t="str">
        <f>IFERROR(__xludf.DUMMYFUNCTION("""COMPUTED_VALUE"""),"D10")</f>
        <v>D10</v>
      </c>
      <c r="B34" s="51" t="str">
        <f>IFERROR(__xludf.DUMMYFUNCTION("""COMPUTED_VALUE"""),"R062")</f>
        <v>R062</v>
      </c>
      <c r="C34" s="52">
        <f>IFERROR(__xludf.DUMMYFUNCTION("""COMPUTED_VALUE"""),0.45291744)</f>
        <v>0.45291744</v>
      </c>
      <c r="D34" s="52">
        <f>IFERROR(__xludf.DUMMYFUNCTION("""COMPUTED_VALUE"""),0.47675520000000005)</f>
        <v>0.4767552</v>
      </c>
      <c r="E34" s="52">
        <f>IFERROR(__xludf.DUMMYFUNCTION("""COMPUTED_VALUE"""),0.5005929600000001)</f>
        <v>0.50059296</v>
      </c>
      <c r="F34" s="53" t="str">
        <f>IFERROR(__xludf.DUMMYFUNCTION("""COMPUTED_VALUE"""),"Group 2")</f>
        <v>Group 2</v>
      </c>
      <c r="G34" s="53" t="str">
        <f>IFERROR(__xludf.DUMMYFUNCTION("""COMPUTED_VALUE"""),"G11")</f>
        <v>G11</v>
      </c>
      <c r="H34" s="54"/>
      <c r="I34" s="55" t="s">
        <v>101</v>
      </c>
      <c r="J34" s="56">
        <f t="shared" ref="J34:J36" si="9">VLOOKUP(I34,$B$2:$E$100,2,FALSE)</f>
        <v>0.24624</v>
      </c>
      <c r="K34" s="56">
        <f t="shared" ref="K34:K36" si="10">VLOOKUP(I34,$B$2:$E$100,4,FALSE)</f>
        <v>0.27216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49"/>
    </row>
    <row r="35" ht="20.25" customHeight="1">
      <c r="A35" s="58" t="str">
        <f>IFERROR(__xludf.DUMMYFUNCTION("""COMPUTED_VALUE"""),"D09")</f>
        <v>D09</v>
      </c>
      <c r="B35" s="51" t="str">
        <f>IFERROR(__xludf.DUMMYFUNCTION("""COMPUTED_VALUE"""),"R065")</f>
        <v>R065</v>
      </c>
      <c r="C35" s="52">
        <f>IFERROR(__xludf.DUMMYFUNCTION("""COMPUTED_VALUE"""),0.5374000581413224)</f>
        <v>0.5374000581</v>
      </c>
      <c r="D35" s="52">
        <f>IFERROR(__xludf.DUMMYFUNCTION("""COMPUTED_VALUE"""),0.5656842717277079)</f>
        <v>0.5656842717</v>
      </c>
      <c r="E35" s="52">
        <f>IFERROR(__xludf.DUMMYFUNCTION("""COMPUTED_VALUE"""),0.5939684853140933)</f>
        <v>0.5939684853</v>
      </c>
      <c r="F35" s="53" t="str">
        <f>IFERROR(__xludf.DUMMYFUNCTION("""COMPUTED_VALUE"""),"Group 2")</f>
        <v>Group 2</v>
      </c>
      <c r="G35" s="53" t="str">
        <f>IFERROR(__xludf.DUMMYFUNCTION("""COMPUTED_VALUE"""),"G12")</f>
        <v>G12</v>
      </c>
      <c r="H35" s="54"/>
      <c r="I35" s="59" t="s">
        <v>90</v>
      </c>
      <c r="J35" s="60">
        <f t="shared" si="9"/>
        <v>0.6322353625</v>
      </c>
      <c r="K35" s="60">
        <f t="shared" si="10"/>
        <v>0.6987864533</v>
      </c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49"/>
    </row>
    <row r="36" ht="20.25" customHeight="1">
      <c r="A36" s="58" t="str">
        <f>IFERROR(__xludf.DUMMYFUNCTION("""COMPUTED_VALUE"""),"D10")</f>
        <v>D10</v>
      </c>
      <c r="B36" s="51" t="str">
        <f>IFERROR(__xludf.DUMMYFUNCTION("""COMPUTED_VALUE"""),"R066")</f>
        <v>R066</v>
      </c>
      <c r="C36" s="52">
        <f>IFERROR(__xludf.DUMMYFUNCTION("""COMPUTED_VALUE"""),0.5661468)</f>
        <v>0.5661468</v>
      </c>
      <c r="D36" s="52">
        <f>IFERROR(__xludf.DUMMYFUNCTION("""COMPUTED_VALUE"""),0.595944)</f>
        <v>0.595944</v>
      </c>
      <c r="E36" s="52">
        <f>IFERROR(__xludf.DUMMYFUNCTION("""COMPUTED_VALUE"""),0.6257412000000001)</f>
        <v>0.6257412</v>
      </c>
      <c r="F36" s="53" t="str">
        <f>IFERROR(__xludf.DUMMYFUNCTION("""COMPUTED_VALUE"""),"Group 1")</f>
        <v>Group 1</v>
      </c>
      <c r="G36" s="53" t="str">
        <f>IFERROR(__xludf.DUMMYFUNCTION("""COMPUTED_VALUE"""),"G10")</f>
        <v>G10</v>
      </c>
      <c r="H36" s="54"/>
      <c r="I36" s="55" t="s">
        <v>85</v>
      </c>
      <c r="J36" s="56">
        <f t="shared" si="9"/>
        <v>0.5661468</v>
      </c>
      <c r="K36" s="56">
        <f t="shared" si="10"/>
        <v>0.6257412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49"/>
    </row>
    <row r="37" ht="20.25" customHeight="1">
      <c r="A37" s="58" t="str">
        <f>IFERROR(__xludf.DUMMYFUNCTION("""COMPUTED_VALUE"""),"D10")</f>
        <v>D10</v>
      </c>
      <c r="B37" s="51" t="str">
        <f>IFERROR(__xludf.DUMMYFUNCTION("""COMPUTED_VALUE"""),"R069")</f>
        <v>R069</v>
      </c>
      <c r="C37" s="52">
        <f>IFERROR(__xludf.DUMMYFUNCTION("""COMPUTED_VALUE"""),0.45291744)</f>
        <v>0.45291744</v>
      </c>
      <c r="D37" s="52">
        <f>IFERROR(__xludf.DUMMYFUNCTION("""COMPUTED_VALUE"""),0.47675520000000005)</f>
        <v>0.4767552</v>
      </c>
      <c r="E37" s="52">
        <f>IFERROR(__xludf.DUMMYFUNCTION("""COMPUTED_VALUE"""),0.5005929600000001)</f>
        <v>0.50059296</v>
      </c>
      <c r="F37" s="53" t="str">
        <f>IFERROR(__xludf.DUMMYFUNCTION("""COMPUTED_VALUE"""),"Group 2")</f>
        <v>Group 2</v>
      </c>
      <c r="G37" s="53" t="str">
        <f>IFERROR(__xludf.DUMMYFUNCTION("""COMPUTED_VALUE"""),"G11")</f>
        <v>G11</v>
      </c>
      <c r="H37" s="54"/>
      <c r="I37" s="59" t="s">
        <v>97</v>
      </c>
      <c r="J37" s="60">
        <f>1-K36</f>
        <v>0.3742588</v>
      </c>
      <c r="K37" s="60">
        <f>1-J36</f>
        <v>0.4338532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49"/>
    </row>
    <row r="38" ht="20.25" customHeight="1">
      <c r="A38" s="58" t="str">
        <f>IFERROR(__xludf.DUMMYFUNCTION("""COMPUTED_VALUE"""),"D05")</f>
        <v>D05</v>
      </c>
      <c r="B38" s="51" t="str">
        <f>IFERROR(__xludf.DUMMYFUNCTION("""COMPUTED_VALUE"""),"R072")</f>
        <v>R072</v>
      </c>
      <c r="C38" s="52">
        <f>IFERROR(__xludf.DUMMYFUNCTION("""COMPUTED_VALUE"""),0.6111007999999998)</f>
        <v>0.6111008</v>
      </c>
      <c r="D38" s="52">
        <f>IFERROR(__xludf.DUMMYFUNCTION("""COMPUTED_VALUE"""),0.6432639999999998)</f>
        <v>0.643264</v>
      </c>
      <c r="E38" s="52">
        <f>IFERROR(__xludf.DUMMYFUNCTION("""COMPUTED_VALUE"""),0.6754271999999999)</f>
        <v>0.6754272</v>
      </c>
      <c r="F38" s="53" t="str">
        <f>IFERROR(__xludf.DUMMYFUNCTION("""COMPUTED_VALUE"""),"Group 1")</f>
        <v>Group 1</v>
      </c>
      <c r="G38" s="53" t="str">
        <f>IFERROR(__xludf.DUMMYFUNCTION("""COMPUTED_VALUE"""),"G05")</f>
        <v>G05</v>
      </c>
      <c r="H38" s="54"/>
      <c r="I38" s="55" t="s">
        <v>110</v>
      </c>
      <c r="J38" s="56">
        <f>1-K35</f>
        <v>0.3012135467</v>
      </c>
      <c r="K38" s="56">
        <f>1-J35</f>
        <v>0.3677646375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49"/>
    </row>
    <row r="39" ht="20.25" customHeight="1">
      <c r="A39" s="58" t="str">
        <f>IFERROR(__xludf.DUMMYFUNCTION("""COMPUTED_VALUE"""),"D06")</f>
        <v>D06</v>
      </c>
      <c r="B39" s="51" t="str">
        <f>IFERROR(__xludf.DUMMYFUNCTION("""COMPUTED_VALUE"""),"R074")</f>
        <v>R074</v>
      </c>
      <c r="C39" s="52">
        <f>IFERROR(__xludf.DUMMYFUNCTION("""COMPUTED_VALUE"""),0.6998203500000001)</f>
        <v>0.69982035</v>
      </c>
      <c r="D39" s="52">
        <f>IFERROR(__xludf.DUMMYFUNCTION("""COMPUTED_VALUE"""),0.7366530000000001)</f>
        <v>0.736653</v>
      </c>
      <c r="E39" s="52">
        <f>IFERROR(__xludf.DUMMYFUNCTION("""COMPUTED_VALUE"""),0.7734856500000001)</f>
        <v>0.77348565</v>
      </c>
      <c r="F39" s="53" t="str">
        <f>IFERROR(__xludf.DUMMYFUNCTION("""COMPUTED_VALUE"""),"Group 1")</f>
        <v>Group 1</v>
      </c>
      <c r="G39" s="53" t="str">
        <f>IFERROR(__xludf.DUMMYFUNCTION("""COMPUTED_VALUE"""),"G06")</f>
        <v>G06</v>
      </c>
      <c r="H39" s="54"/>
      <c r="I39" s="59" t="s">
        <v>106</v>
      </c>
      <c r="J39" s="60">
        <f>VLOOKUP(I39,$B$2:$E$100,2,FALSE)</f>
        <v>0.45291744</v>
      </c>
      <c r="K39" s="60">
        <f>VLOOKUP(I39,$B$2:$E$100,4,FALSE)</f>
        <v>0.50059296</v>
      </c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49"/>
    </row>
    <row r="40" ht="20.25" customHeight="1">
      <c r="A40" s="58" t="str">
        <f>IFERROR(__xludf.DUMMYFUNCTION("""COMPUTED_VALUE"""),"D07")</f>
        <v>D07</v>
      </c>
      <c r="B40" s="51" t="str">
        <f>IFERROR(__xludf.DUMMYFUNCTION("""COMPUTED_VALUE"""),"R076")</f>
        <v>R076</v>
      </c>
      <c r="C40" s="52">
        <f>IFERROR(__xludf.DUMMYFUNCTION("""COMPUTED_VALUE"""),0.7312729500000001)</f>
        <v>0.73127295</v>
      </c>
      <c r="D40" s="52">
        <f>IFERROR(__xludf.DUMMYFUNCTION("""COMPUTED_VALUE"""),0.7697610000000001)</f>
        <v>0.769761</v>
      </c>
      <c r="E40" s="52">
        <f>IFERROR(__xludf.DUMMYFUNCTION("""COMPUTED_VALUE"""),0.8082490500000001)</f>
        <v>0.80824905</v>
      </c>
      <c r="F40" s="53" t="str">
        <f>IFERROR(__xludf.DUMMYFUNCTION("""COMPUTED_VALUE"""),"Group 1")</f>
        <v>Group 1</v>
      </c>
      <c r="G40" s="53" t="str">
        <f>IFERROR(__xludf.DUMMYFUNCTION("""COMPUTED_VALUE"""),"G07")</f>
        <v>G07</v>
      </c>
      <c r="H40" s="54"/>
      <c r="I40" s="55" t="s">
        <v>114</v>
      </c>
      <c r="J40" s="56">
        <f>1-K39</f>
        <v>0.49940704</v>
      </c>
      <c r="K40" s="56">
        <f>1-J39</f>
        <v>0.54708256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49"/>
    </row>
    <row r="41" ht="20.25" customHeight="1">
      <c r="A41" s="58" t="str">
        <f>IFERROR(__xludf.DUMMYFUNCTION("""COMPUTED_VALUE"""),"D08")</f>
        <v>D08</v>
      </c>
      <c r="B41" s="51" t="str">
        <f>IFERROR(__xludf.DUMMYFUNCTION("""COMPUTED_VALUE"""),"R078")</f>
        <v>R078</v>
      </c>
      <c r="C41" s="52">
        <f>IFERROR(__xludf.DUMMYFUNCTION("""COMPUTED_VALUE"""),0.24624)</f>
        <v>0.24624</v>
      </c>
      <c r="D41" s="52">
        <f>IFERROR(__xludf.DUMMYFUNCTION("""COMPUTED_VALUE"""),0.2592)</f>
        <v>0.2592</v>
      </c>
      <c r="E41" s="52">
        <f>IFERROR(__xludf.DUMMYFUNCTION("""COMPUTED_VALUE"""),0.27216)</f>
        <v>0.27216</v>
      </c>
      <c r="F41" s="53" t="str">
        <f>IFERROR(__xludf.DUMMYFUNCTION("""COMPUTED_VALUE"""),"Group 2")</f>
        <v>Group 2</v>
      </c>
      <c r="G41" s="53" t="str">
        <f>IFERROR(__xludf.DUMMYFUNCTION("""COMPUTED_VALUE"""),"G13")</f>
        <v>G13</v>
      </c>
      <c r="H41" s="54"/>
      <c r="I41" s="59" t="s">
        <v>127</v>
      </c>
      <c r="J41" s="60">
        <f>1-K34</f>
        <v>0.72784</v>
      </c>
      <c r="K41" s="60">
        <f>1-J34</f>
        <v>0.75376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49"/>
    </row>
    <row r="42" ht="20.25" customHeight="1">
      <c r="A42" s="58" t="str">
        <f>IFERROR(__xludf.DUMMYFUNCTION("""COMPUTED_VALUE"""),"D09")</f>
        <v>D09</v>
      </c>
      <c r="B42" s="51" t="str">
        <f>IFERROR(__xludf.DUMMYFUNCTION("""COMPUTED_VALUE"""),"R079")</f>
        <v>R079</v>
      </c>
      <c r="C42" s="52">
        <f>IFERROR(__xludf.DUMMYFUNCTION("""COMPUTED_VALUE"""),0.632235362519203)</f>
        <v>0.6322353625</v>
      </c>
      <c r="D42" s="52">
        <f>IFERROR(__xludf.DUMMYFUNCTION("""COMPUTED_VALUE"""),0.6655109079149505)</f>
        <v>0.6655109079</v>
      </c>
      <c r="E42" s="52">
        <f>IFERROR(__xludf.DUMMYFUNCTION("""COMPUTED_VALUE"""),0.698786453310698)</f>
        <v>0.6987864533</v>
      </c>
      <c r="F42" s="53" t="str">
        <f>IFERROR(__xludf.DUMMYFUNCTION("""COMPUTED_VALUE"""),"Group 1")</f>
        <v>Group 1</v>
      </c>
      <c r="G42" s="53" t="str">
        <f>IFERROR(__xludf.DUMMYFUNCTION("""COMPUTED_VALUE"""),"G09")</f>
        <v>G09</v>
      </c>
      <c r="H42" s="54"/>
      <c r="I42" s="55" t="s">
        <v>121</v>
      </c>
      <c r="J42" s="56">
        <f t="shared" ref="J42:J43" si="11">VLOOKUP(I42,$B$2:$E$100,2,FALSE)</f>
        <v>0.5374000581</v>
      </c>
      <c r="K42" s="56">
        <f t="shared" ref="K42:K43" si="12">VLOOKUP(I42,$B$2:$E$100,4,FALSE)</f>
        <v>0.5939684853</v>
      </c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49"/>
    </row>
    <row r="43" ht="20.25" customHeight="1">
      <c r="A43" s="58" t="str">
        <f>IFERROR(__xludf.DUMMYFUNCTION("""COMPUTED_VALUE"""),"D10")</f>
        <v>D10</v>
      </c>
      <c r="B43" s="51" t="str">
        <f>IFERROR(__xludf.DUMMYFUNCTION("""COMPUTED_VALUE"""),"R080")</f>
        <v>R080</v>
      </c>
      <c r="C43" s="52">
        <f>IFERROR(__xludf.DUMMYFUNCTION("""COMPUTED_VALUE"""),0.5661468)</f>
        <v>0.5661468</v>
      </c>
      <c r="D43" s="52">
        <f>IFERROR(__xludf.DUMMYFUNCTION("""COMPUTED_VALUE"""),0.595944)</f>
        <v>0.595944</v>
      </c>
      <c r="E43" s="52">
        <f>IFERROR(__xludf.DUMMYFUNCTION("""COMPUTED_VALUE"""),0.6257412000000001)</f>
        <v>0.6257412</v>
      </c>
      <c r="F43" s="53" t="str">
        <f>IFERROR(__xludf.DUMMYFUNCTION("""COMPUTED_VALUE"""),"Group 1")</f>
        <v>Group 1</v>
      </c>
      <c r="G43" s="53" t="str">
        <f>IFERROR(__xludf.DUMMYFUNCTION("""COMPUTED_VALUE"""),"G10")</f>
        <v>G10</v>
      </c>
      <c r="H43" s="54"/>
      <c r="I43" s="59" t="s">
        <v>119</v>
      </c>
      <c r="J43" s="60">
        <f t="shared" si="11"/>
        <v>0.5661468</v>
      </c>
      <c r="K43" s="60">
        <f t="shared" si="12"/>
        <v>0.6257412</v>
      </c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49"/>
    </row>
    <row r="44" ht="20.25" customHeight="1">
      <c r="A44" s="58" t="str">
        <f>IFERROR(__xludf.DUMMYFUNCTION("""COMPUTED_VALUE"""),"D10")</f>
        <v>D10</v>
      </c>
      <c r="B44" s="51" t="str">
        <f>IFERROR(__xludf.DUMMYFUNCTION("""COMPUTED_VALUE"""),"R083")</f>
        <v>R083</v>
      </c>
      <c r="C44" s="52">
        <f>IFERROR(__xludf.DUMMYFUNCTION("""COMPUTED_VALUE"""),0.45291744)</f>
        <v>0.45291744</v>
      </c>
      <c r="D44" s="52">
        <f>IFERROR(__xludf.DUMMYFUNCTION("""COMPUTED_VALUE"""),0.47675520000000005)</f>
        <v>0.4767552</v>
      </c>
      <c r="E44" s="52">
        <f>IFERROR(__xludf.DUMMYFUNCTION("""COMPUTED_VALUE"""),0.5005929600000001)</f>
        <v>0.50059296</v>
      </c>
      <c r="F44" s="53" t="str">
        <f>IFERROR(__xludf.DUMMYFUNCTION("""COMPUTED_VALUE"""),"Group 2")</f>
        <v>Group 2</v>
      </c>
      <c r="G44" s="53" t="str">
        <f>IFERROR(__xludf.DUMMYFUNCTION("""COMPUTED_VALUE"""),"G11")</f>
        <v>G11</v>
      </c>
      <c r="H44" s="54"/>
      <c r="I44" s="55" t="s">
        <v>125</v>
      </c>
      <c r="J44" s="56">
        <f>1-K43</f>
        <v>0.3742588</v>
      </c>
      <c r="K44" s="56">
        <f>1-J43</f>
        <v>0.4338532</v>
      </c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49"/>
    </row>
    <row r="45" ht="20.25" customHeight="1">
      <c r="A45" s="58" t="str">
        <f>IFERROR(__xludf.DUMMYFUNCTION("""COMPUTED_VALUE"""),"D09")</f>
        <v>D09</v>
      </c>
      <c r="B45" s="51" t="str">
        <f>IFERROR(__xludf.DUMMYFUNCTION("""COMPUTED_VALUE"""),"R086")</f>
        <v>R086</v>
      </c>
      <c r="C45" s="52">
        <f>IFERROR(__xludf.DUMMYFUNCTION("""COMPUTED_VALUE"""),0.5374000581413224)</f>
        <v>0.5374000581</v>
      </c>
      <c r="D45" s="52">
        <f>IFERROR(__xludf.DUMMYFUNCTION("""COMPUTED_VALUE"""),0.5656842717277079)</f>
        <v>0.5656842717</v>
      </c>
      <c r="E45" s="52">
        <f>IFERROR(__xludf.DUMMYFUNCTION("""COMPUTED_VALUE"""),0.5939684853140933)</f>
        <v>0.5939684853</v>
      </c>
      <c r="F45" s="53" t="str">
        <f>IFERROR(__xludf.DUMMYFUNCTION("""COMPUTED_VALUE"""),"Group 2")</f>
        <v>Group 2</v>
      </c>
      <c r="G45" s="53" t="str">
        <f>IFERROR(__xludf.DUMMYFUNCTION("""COMPUTED_VALUE"""),"G12")</f>
        <v>G12</v>
      </c>
      <c r="H45" s="54"/>
      <c r="I45" s="59" t="s">
        <v>133</v>
      </c>
      <c r="J45" s="60">
        <f>1-K42</f>
        <v>0.4060315147</v>
      </c>
      <c r="K45" s="60">
        <f>1-J42</f>
        <v>0.4625999419</v>
      </c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49"/>
    </row>
    <row r="46" ht="20.25" customHeight="1">
      <c r="A46" s="58" t="str">
        <f>IFERROR(__xludf.DUMMYFUNCTION("""COMPUTED_VALUE"""),"D10")</f>
        <v>D10</v>
      </c>
      <c r="B46" s="51" t="str">
        <f>IFERROR(__xludf.DUMMYFUNCTION("""COMPUTED_VALUE"""),"R087")</f>
        <v>R087</v>
      </c>
      <c r="C46" s="52">
        <f>IFERROR(__xludf.DUMMYFUNCTION("""COMPUTED_VALUE"""),0.5661468)</f>
        <v>0.5661468</v>
      </c>
      <c r="D46" s="52">
        <f>IFERROR(__xludf.DUMMYFUNCTION("""COMPUTED_VALUE"""),0.595944)</f>
        <v>0.595944</v>
      </c>
      <c r="E46" s="52">
        <f>IFERROR(__xludf.DUMMYFUNCTION("""COMPUTED_VALUE"""),0.6257412000000001)</f>
        <v>0.6257412</v>
      </c>
      <c r="F46" s="53" t="str">
        <f>IFERROR(__xludf.DUMMYFUNCTION("""COMPUTED_VALUE"""),"Group 1")</f>
        <v>Group 1</v>
      </c>
      <c r="G46" s="53" t="str">
        <f>IFERROR(__xludf.DUMMYFUNCTION("""COMPUTED_VALUE"""),"G10")</f>
        <v>G10</v>
      </c>
      <c r="H46" s="54"/>
      <c r="I46" s="55" t="s">
        <v>130</v>
      </c>
      <c r="J46" s="56">
        <f>VLOOKUP(I46,$B$2:$E$100,2,FALSE)</f>
        <v>0.45291744</v>
      </c>
      <c r="K46" s="56">
        <f>VLOOKUP(I46,$B$2:$E$100,4,FALSE)</f>
        <v>0.50059296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49"/>
    </row>
    <row r="47" ht="20.25" customHeight="1">
      <c r="A47" s="58" t="str">
        <f>IFERROR(__xludf.DUMMYFUNCTION("""COMPUTED_VALUE"""),"D10")</f>
        <v>D10</v>
      </c>
      <c r="B47" s="51" t="str">
        <f>IFERROR(__xludf.DUMMYFUNCTION("""COMPUTED_VALUE"""),"R090")</f>
        <v>R090</v>
      </c>
      <c r="C47" s="52">
        <f>IFERROR(__xludf.DUMMYFUNCTION("""COMPUTED_VALUE"""),0.45291744)</f>
        <v>0.45291744</v>
      </c>
      <c r="D47" s="52">
        <f>IFERROR(__xludf.DUMMYFUNCTION("""COMPUTED_VALUE"""),0.47675520000000005)</f>
        <v>0.4767552</v>
      </c>
      <c r="E47" s="52">
        <f>IFERROR(__xludf.DUMMYFUNCTION("""COMPUTED_VALUE"""),0.5005929600000001)</f>
        <v>0.50059296</v>
      </c>
      <c r="F47" s="53" t="str">
        <f>IFERROR(__xludf.DUMMYFUNCTION("""COMPUTED_VALUE"""),"Group 2")</f>
        <v>Group 2</v>
      </c>
      <c r="G47" s="53" t="str">
        <f>IFERROR(__xludf.DUMMYFUNCTION("""COMPUTED_VALUE"""),"G11")</f>
        <v>G11</v>
      </c>
      <c r="H47" s="54"/>
      <c r="I47" s="59" t="s">
        <v>140</v>
      </c>
      <c r="J47" s="60">
        <f>1-K46</f>
        <v>0.49940704</v>
      </c>
      <c r="K47" s="60">
        <f>1-J46</f>
        <v>0.54708256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49"/>
    </row>
    <row r="48" ht="20.25" customHeight="1">
      <c r="A48" s="58" t="str">
        <f>IFERROR(__xludf.DUMMYFUNCTION("""COMPUTED_VALUE"""),"D02")</f>
        <v>D02</v>
      </c>
      <c r="B48" s="51" t="str">
        <f>IFERROR(__xludf.DUMMYFUNCTION("""COMPUTED_VALUE"""),"R093")</f>
        <v>R093</v>
      </c>
      <c r="C48" s="52">
        <f>IFERROR(__xludf.DUMMYFUNCTION("""COMPUTED_VALUE"""),0.34028665599999985)</f>
        <v>0.340286656</v>
      </c>
      <c r="D48" s="52">
        <f>IFERROR(__xludf.DUMMYFUNCTION("""COMPUTED_VALUE"""),0.3581964799999999)</f>
        <v>0.35819648</v>
      </c>
      <c r="E48" s="52">
        <f>IFERROR(__xludf.DUMMYFUNCTION("""COMPUTED_VALUE"""),0.3761063039999999)</f>
        <v>0.376106304</v>
      </c>
      <c r="F48" s="53" t="str">
        <f>IFERROR(__xludf.DUMMYFUNCTION("""COMPUTED_VALUE"""),"Group 2")</f>
        <v>Group 2</v>
      </c>
      <c r="G48" s="53" t="str">
        <f>IFERROR(__xludf.DUMMYFUNCTION("""COMPUTED_VALUE"""),"G16")</f>
        <v>G16</v>
      </c>
      <c r="H48" s="54"/>
      <c r="I48" s="55" t="s">
        <v>171</v>
      </c>
      <c r="J48" s="56">
        <f>1-K3</f>
        <v>0.247787392</v>
      </c>
      <c r="K48" s="56">
        <f>1-J3</f>
        <v>0.319426688</v>
      </c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49"/>
    </row>
    <row r="49" ht="20.25" customHeight="1">
      <c r="A49" s="58" t="str">
        <f>IFERROR(__xludf.DUMMYFUNCTION("""COMPUTED_VALUE"""),"D03")</f>
        <v>D03</v>
      </c>
      <c r="B49" s="51" t="str">
        <f>IFERROR(__xludf.DUMMYFUNCTION("""COMPUTED_VALUE"""),"R094")</f>
        <v>R094</v>
      </c>
      <c r="C49" s="52">
        <f>IFERROR(__xludf.DUMMYFUNCTION("""COMPUTED_VALUE"""),0.7524000000000001)</f>
        <v>0.7524</v>
      </c>
      <c r="D49" s="52">
        <f>IFERROR(__xludf.DUMMYFUNCTION("""COMPUTED_VALUE"""),0.7920000000000001)</f>
        <v>0.792</v>
      </c>
      <c r="E49" s="52">
        <f>IFERROR(__xludf.DUMMYFUNCTION("""COMPUTED_VALUE"""),0.8316000000000002)</f>
        <v>0.8316</v>
      </c>
      <c r="F49" s="53" t="str">
        <f>IFERROR(__xludf.DUMMYFUNCTION("""COMPUTED_VALUE"""),"Group 1")</f>
        <v>Group 1</v>
      </c>
      <c r="G49" s="53" t="str">
        <f>IFERROR(__xludf.DUMMYFUNCTION("""COMPUTED_VALUE"""),"G03")</f>
        <v>G03</v>
      </c>
      <c r="H49" s="54"/>
      <c r="I49" s="59" t="s">
        <v>142</v>
      </c>
      <c r="J49" s="60">
        <f>VLOOKUP(I49,$B$2:$E$100,2,FALSE)</f>
        <v>0.22572</v>
      </c>
      <c r="K49" s="60">
        <f>VLOOKUP(I49,$B$2:$E$100,4,FALSE)</f>
        <v>0.24948</v>
      </c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49"/>
    </row>
    <row r="50" ht="20.25" customHeight="1">
      <c r="A50" s="58" t="str">
        <f>IFERROR(__xludf.DUMMYFUNCTION("""COMPUTED_VALUE"""),"D04")</f>
        <v>D04</v>
      </c>
      <c r="B50" s="51" t="str">
        <f>IFERROR(__xludf.DUMMYFUNCTION("""COMPUTED_VALUE"""),"R096")</f>
        <v>R096</v>
      </c>
      <c r="C50" s="52">
        <f>IFERROR(__xludf.DUMMYFUNCTION("""COMPUTED_VALUE"""),0.2499718558464)</f>
        <v>0.2499718558</v>
      </c>
      <c r="D50" s="52">
        <f>IFERROR(__xludf.DUMMYFUNCTION("""COMPUTED_VALUE"""),0.263128269312)</f>
        <v>0.2631282693</v>
      </c>
      <c r="E50" s="52">
        <f>IFERROR(__xludf.DUMMYFUNCTION("""COMPUTED_VALUE"""),0.27628468277760004)</f>
        <v>0.2762846828</v>
      </c>
      <c r="F50" s="53" t="str">
        <f>IFERROR(__xludf.DUMMYFUNCTION("""COMPUTED_VALUE"""),"Group 1")</f>
        <v>Group 1</v>
      </c>
      <c r="G50" s="53" t="str">
        <f>IFERROR(__xludf.DUMMYFUNCTION("""COMPUTED_VALUE"""),"G04")</f>
        <v>G04</v>
      </c>
      <c r="H50" s="54"/>
      <c r="I50" s="55" t="s">
        <v>189</v>
      </c>
      <c r="J50" s="56">
        <f>1-K49</f>
        <v>0.75052</v>
      </c>
      <c r="K50" s="56">
        <f>1-J49</f>
        <v>0.77428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49"/>
    </row>
    <row r="51" ht="20.25" customHeight="1">
      <c r="A51" s="58" t="str">
        <f>IFERROR(__xludf.DUMMYFUNCTION("""COMPUTED_VALUE"""),"D05")</f>
        <v>D05</v>
      </c>
      <c r="B51" s="51" t="str">
        <f>IFERROR(__xludf.DUMMYFUNCTION("""COMPUTED_VALUE"""),"R097")</f>
        <v>R097</v>
      </c>
      <c r="C51" s="52">
        <f>IFERROR(__xludf.DUMMYFUNCTION("""COMPUTED_VALUE"""),0.6111007999999998)</f>
        <v>0.6111008</v>
      </c>
      <c r="D51" s="52">
        <f>IFERROR(__xludf.DUMMYFUNCTION("""COMPUTED_VALUE"""),0.6432639999999998)</f>
        <v>0.643264</v>
      </c>
      <c r="E51" s="52">
        <f>IFERROR(__xludf.DUMMYFUNCTION("""COMPUTED_VALUE"""),0.6754271999999999)</f>
        <v>0.6754272</v>
      </c>
      <c r="F51" s="53" t="str">
        <f>IFERROR(__xludf.DUMMYFUNCTION("""COMPUTED_VALUE"""),"Group 1")</f>
        <v>Group 1</v>
      </c>
      <c r="G51" s="53" t="str">
        <f>IFERROR(__xludf.DUMMYFUNCTION("""COMPUTED_VALUE"""),"G05")</f>
        <v>G05</v>
      </c>
      <c r="H51" s="54"/>
      <c r="I51" s="59" t="s">
        <v>156</v>
      </c>
      <c r="J51" s="60">
        <f t="shared" ref="J51:J52" si="13">VLOOKUP(I51,$B$2:$E$100,2,FALSE)</f>
        <v>0.1966070776</v>
      </c>
      <c r="K51" s="60">
        <f t="shared" ref="K51:K52" si="14">VLOOKUP(I51,$B$2:$E$100,4,FALSE)</f>
        <v>0.2173025595</v>
      </c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49"/>
    </row>
    <row r="52" ht="20.25" customHeight="1">
      <c r="A52" s="58" t="str">
        <f>IFERROR(__xludf.DUMMYFUNCTION("""COMPUTED_VALUE"""),"D06")</f>
        <v>D06</v>
      </c>
      <c r="B52" s="51" t="str">
        <f>IFERROR(__xludf.DUMMYFUNCTION("""COMPUTED_VALUE"""),"R099")</f>
        <v>R099</v>
      </c>
      <c r="C52" s="52">
        <f>IFERROR(__xludf.DUMMYFUNCTION("""COMPUTED_VALUE"""),0.6998203500000001)</f>
        <v>0.69982035</v>
      </c>
      <c r="D52" s="52">
        <f>IFERROR(__xludf.DUMMYFUNCTION("""COMPUTED_VALUE"""),0.7366530000000001)</f>
        <v>0.736653</v>
      </c>
      <c r="E52" s="52">
        <f>IFERROR(__xludf.DUMMYFUNCTION("""COMPUTED_VALUE"""),0.7734856500000001)</f>
        <v>0.77348565</v>
      </c>
      <c r="F52" s="53" t="str">
        <f>IFERROR(__xludf.DUMMYFUNCTION("""COMPUTED_VALUE"""),"Group 1")</f>
        <v>Group 1</v>
      </c>
      <c r="G52" s="53" t="str">
        <f>IFERROR(__xludf.DUMMYFUNCTION("""COMPUTED_VALUE"""),"G06")</f>
        <v>G06</v>
      </c>
      <c r="H52" s="54"/>
      <c r="I52" s="55" t="s">
        <v>144</v>
      </c>
      <c r="J52" s="56">
        <f t="shared" si="13"/>
        <v>0.6111008</v>
      </c>
      <c r="K52" s="56">
        <f t="shared" si="14"/>
        <v>0.6754272</v>
      </c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49"/>
    </row>
    <row r="53" ht="20.25" customHeight="1">
      <c r="A53" s="58" t="str">
        <f>IFERROR(__xludf.DUMMYFUNCTION("""COMPUTED_VALUE"""),"D07")</f>
        <v>D07</v>
      </c>
      <c r="B53" s="51" t="str">
        <f>IFERROR(__xludf.DUMMYFUNCTION("""COMPUTED_VALUE"""),"R101")</f>
        <v>R101</v>
      </c>
      <c r="C53" s="52">
        <f>IFERROR(__xludf.DUMMYFUNCTION("""COMPUTED_VALUE"""),0.7312729500000001)</f>
        <v>0.73127295</v>
      </c>
      <c r="D53" s="52">
        <f>IFERROR(__xludf.DUMMYFUNCTION("""COMPUTED_VALUE"""),0.7697610000000001)</f>
        <v>0.769761</v>
      </c>
      <c r="E53" s="52">
        <f>IFERROR(__xludf.DUMMYFUNCTION("""COMPUTED_VALUE"""),0.8082490500000001)</f>
        <v>0.80824905</v>
      </c>
      <c r="F53" s="53" t="str">
        <f>IFERROR(__xludf.DUMMYFUNCTION("""COMPUTED_VALUE"""),"Group 1")</f>
        <v>Group 1</v>
      </c>
      <c r="G53" s="53" t="str">
        <f>IFERROR(__xludf.DUMMYFUNCTION("""COMPUTED_VALUE"""),"G07")</f>
        <v>G07</v>
      </c>
      <c r="H53" s="54"/>
      <c r="I53" s="59" t="s">
        <v>165</v>
      </c>
      <c r="J53" s="60">
        <f>1-K52</f>
        <v>0.3245728</v>
      </c>
      <c r="K53" s="60">
        <f>1-J52</f>
        <v>0.3888992</v>
      </c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49"/>
    </row>
    <row r="54" ht="20.25" customHeight="1">
      <c r="A54" s="58" t="str">
        <f>IFERROR(__xludf.DUMMYFUNCTION("""COMPUTED_VALUE"""),"D08")</f>
        <v>D08</v>
      </c>
      <c r="B54" s="51" t="str">
        <f>IFERROR(__xludf.DUMMYFUNCTION("""COMPUTED_VALUE"""),"R103")</f>
        <v>R103</v>
      </c>
      <c r="C54" s="52">
        <f>IFERROR(__xludf.DUMMYFUNCTION("""COMPUTED_VALUE"""),0.49248)</f>
        <v>0.49248</v>
      </c>
      <c r="D54" s="52">
        <f>IFERROR(__xludf.DUMMYFUNCTION("""COMPUTED_VALUE"""),0.5184)</f>
        <v>0.5184</v>
      </c>
      <c r="E54" s="52">
        <f>IFERROR(__xludf.DUMMYFUNCTION("""COMPUTED_VALUE"""),0.54432)</f>
        <v>0.54432</v>
      </c>
      <c r="F54" s="53" t="str">
        <f>IFERROR(__xludf.DUMMYFUNCTION("""COMPUTED_VALUE"""),"Group 1")</f>
        <v>Group 1</v>
      </c>
      <c r="G54" s="53" t="str">
        <f>IFERROR(__xludf.DUMMYFUNCTION("""COMPUTED_VALUE"""),"G08")</f>
        <v>G08</v>
      </c>
      <c r="H54" s="54"/>
      <c r="I54" s="55" t="s">
        <v>151</v>
      </c>
      <c r="J54" s="56">
        <f>VLOOKUP(I54,$B$2:$E$100,2,FALSE)</f>
        <v>0.69982035</v>
      </c>
      <c r="K54" s="56">
        <f>VLOOKUP(I54,$B$2:$E$100,4,FALSE)</f>
        <v>0.77348565</v>
      </c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49"/>
    </row>
    <row r="55" ht="20.25" customHeight="1">
      <c r="A55" s="58" t="str">
        <f>IFERROR(__xludf.DUMMYFUNCTION("""COMPUTED_VALUE"""),"D09")</f>
        <v>D09</v>
      </c>
      <c r="B55" s="51" t="str">
        <f>IFERROR(__xludf.DUMMYFUNCTION("""COMPUTED_VALUE"""),"R104")</f>
        <v>R104</v>
      </c>
      <c r="C55" s="52">
        <f>IFERROR(__xludf.DUMMYFUNCTION("""COMPUTED_VALUE"""),0.632235362519203)</f>
        <v>0.6322353625</v>
      </c>
      <c r="D55" s="52">
        <f>IFERROR(__xludf.DUMMYFUNCTION("""COMPUTED_VALUE"""),0.6655109079149505)</f>
        <v>0.6655109079</v>
      </c>
      <c r="E55" s="52">
        <f>IFERROR(__xludf.DUMMYFUNCTION("""COMPUTED_VALUE"""),0.698786453310698)</f>
        <v>0.6987864533</v>
      </c>
      <c r="F55" s="53" t="str">
        <f>IFERROR(__xludf.DUMMYFUNCTION("""COMPUTED_VALUE"""),"Group 1")</f>
        <v>Group 1</v>
      </c>
      <c r="G55" s="53" t="str">
        <f>IFERROR(__xludf.DUMMYFUNCTION("""COMPUTED_VALUE"""),"G09")</f>
        <v>G09</v>
      </c>
      <c r="H55" s="54"/>
      <c r="I55" s="59" t="s">
        <v>175</v>
      </c>
      <c r="J55" s="60">
        <f>1-K54</f>
        <v>0.22651435</v>
      </c>
      <c r="K55" s="60">
        <f>1-J54</f>
        <v>0.30017965</v>
      </c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49"/>
    </row>
    <row r="56" ht="20.25" customHeight="1">
      <c r="A56" s="58" t="str">
        <f>IFERROR(__xludf.DUMMYFUNCTION("""COMPUTED_VALUE"""),"D10")</f>
        <v>D10</v>
      </c>
      <c r="B56" s="51" t="str">
        <f>IFERROR(__xludf.DUMMYFUNCTION("""COMPUTED_VALUE"""),"R105")</f>
        <v>R105</v>
      </c>
      <c r="C56" s="52">
        <f>IFERROR(__xludf.DUMMYFUNCTION("""COMPUTED_VALUE"""),0.5661468)</f>
        <v>0.5661468</v>
      </c>
      <c r="D56" s="52">
        <f>IFERROR(__xludf.DUMMYFUNCTION("""COMPUTED_VALUE"""),0.595944)</f>
        <v>0.595944</v>
      </c>
      <c r="E56" s="52">
        <f>IFERROR(__xludf.DUMMYFUNCTION("""COMPUTED_VALUE"""),0.6257412000000001)</f>
        <v>0.6257412</v>
      </c>
      <c r="F56" s="53" t="str">
        <f>IFERROR(__xludf.DUMMYFUNCTION("""COMPUTED_VALUE"""),"Group 1")</f>
        <v>Group 1</v>
      </c>
      <c r="G56" s="53" t="str">
        <f>IFERROR(__xludf.DUMMYFUNCTION("""COMPUTED_VALUE"""),"G10")</f>
        <v>G10</v>
      </c>
      <c r="H56" s="54"/>
      <c r="I56" s="55" t="s">
        <v>161</v>
      </c>
      <c r="J56" s="56">
        <f>VLOOKUP(I56,$B$2:$E$100,2,FALSE)</f>
        <v>0.73127295</v>
      </c>
      <c r="K56" s="56">
        <f>VLOOKUP(I56,$B$2:$E$100,4,FALSE)</f>
        <v>0.80824905</v>
      </c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49"/>
    </row>
    <row r="57" ht="20.25" customHeight="1">
      <c r="A57" s="58" t="str">
        <f>IFERROR(__xludf.DUMMYFUNCTION("""COMPUTED_VALUE"""),"D10")</f>
        <v>D10</v>
      </c>
      <c r="B57" s="51" t="str">
        <f>IFERROR(__xludf.DUMMYFUNCTION("""COMPUTED_VALUE"""),"R108")</f>
        <v>R108</v>
      </c>
      <c r="C57" s="52">
        <f>IFERROR(__xludf.DUMMYFUNCTION("""COMPUTED_VALUE"""),0.45291744)</f>
        <v>0.45291744</v>
      </c>
      <c r="D57" s="52">
        <f>IFERROR(__xludf.DUMMYFUNCTION("""COMPUTED_VALUE"""),0.47675520000000005)</f>
        <v>0.4767552</v>
      </c>
      <c r="E57" s="52">
        <f>IFERROR(__xludf.DUMMYFUNCTION("""COMPUTED_VALUE"""),0.5005929600000001)</f>
        <v>0.50059296</v>
      </c>
      <c r="F57" s="53" t="str">
        <f>IFERROR(__xludf.DUMMYFUNCTION("""COMPUTED_VALUE"""),"Group 2")</f>
        <v>Group 2</v>
      </c>
      <c r="G57" s="53" t="str">
        <f>IFERROR(__xludf.DUMMYFUNCTION("""COMPUTED_VALUE"""),"G11")</f>
        <v>G11</v>
      </c>
      <c r="H57" s="54"/>
      <c r="I57" s="59" t="s">
        <v>185</v>
      </c>
      <c r="J57" s="60">
        <f>1-K56</f>
        <v>0.19175095</v>
      </c>
      <c r="K57" s="60">
        <f>1-J56</f>
        <v>0.26872705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49"/>
    </row>
    <row r="58" ht="20.25" customHeight="1">
      <c r="A58" s="58" t="str">
        <f>IFERROR(__xludf.DUMMYFUNCTION("""COMPUTED_VALUE"""),"D09")</f>
        <v>D09</v>
      </c>
      <c r="B58" s="51" t="str">
        <f>IFERROR(__xludf.DUMMYFUNCTION("""COMPUTED_VALUE"""),"R111")</f>
        <v>R111</v>
      </c>
      <c r="C58" s="52">
        <f>IFERROR(__xludf.DUMMYFUNCTION("""COMPUTED_VALUE"""),0.5374000581413224)</f>
        <v>0.5374000581</v>
      </c>
      <c r="D58" s="52">
        <f>IFERROR(__xludf.DUMMYFUNCTION("""COMPUTED_VALUE"""),0.5656842717277079)</f>
        <v>0.5656842717</v>
      </c>
      <c r="E58" s="52">
        <f>IFERROR(__xludf.DUMMYFUNCTION("""COMPUTED_VALUE"""),0.5939684853140933)</f>
        <v>0.5939684853</v>
      </c>
      <c r="F58" s="53" t="str">
        <f>IFERROR(__xludf.DUMMYFUNCTION("""COMPUTED_VALUE"""),"Group 2")</f>
        <v>Group 2</v>
      </c>
      <c r="G58" s="53" t="str">
        <f>IFERROR(__xludf.DUMMYFUNCTION("""COMPUTED_VALUE"""),"G12")</f>
        <v>G12</v>
      </c>
      <c r="H58" s="54"/>
      <c r="I58" s="55" t="s">
        <v>170</v>
      </c>
      <c r="J58" s="56">
        <f t="shared" ref="J58:J60" si="15">VLOOKUP(I58,$B$2:$E$100,2,FALSE)</f>
        <v>0.49248</v>
      </c>
      <c r="K58" s="56">
        <f t="shared" ref="K58:K60" si="16">VLOOKUP(I58,$B$2:$E$100,4,FALSE)</f>
        <v>0.54432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49"/>
    </row>
    <row r="59" ht="20.25" customHeight="1">
      <c r="A59" s="58" t="str">
        <f>IFERROR(__xludf.DUMMYFUNCTION("""COMPUTED_VALUE"""),"D10")</f>
        <v>D10</v>
      </c>
      <c r="B59" s="51" t="str">
        <f>IFERROR(__xludf.DUMMYFUNCTION("""COMPUTED_VALUE"""),"R112")</f>
        <v>R112</v>
      </c>
      <c r="C59" s="52">
        <f>IFERROR(__xludf.DUMMYFUNCTION("""COMPUTED_VALUE"""),0.5661468)</f>
        <v>0.5661468</v>
      </c>
      <c r="D59" s="52">
        <f>IFERROR(__xludf.DUMMYFUNCTION("""COMPUTED_VALUE"""),0.595944)</f>
        <v>0.595944</v>
      </c>
      <c r="E59" s="52">
        <f>IFERROR(__xludf.DUMMYFUNCTION("""COMPUTED_VALUE"""),0.6257412000000001)</f>
        <v>0.6257412</v>
      </c>
      <c r="F59" s="53" t="str">
        <f>IFERROR(__xludf.DUMMYFUNCTION("""COMPUTED_VALUE"""),"Group 1")</f>
        <v>Group 1</v>
      </c>
      <c r="G59" s="53" t="str">
        <f>IFERROR(__xludf.DUMMYFUNCTION("""COMPUTED_VALUE"""),"G10")</f>
        <v>G10</v>
      </c>
      <c r="H59" s="54"/>
      <c r="I59" s="59" t="s">
        <v>159</v>
      </c>
      <c r="J59" s="60">
        <f t="shared" si="15"/>
        <v>0.6322353625</v>
      </c>
      <c r="K59" s="60">
        <f t="shared" si="16"/>
        <v>0.6987864533</v>
      </c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49"/>
    </row>
    <row r="60" ht="20.25" customHeight="1">
      <c r="A60" s="58" t="str">
        <f>IFERROR(__xludf.DUMMYFUNCTION("""COMPUTED_VALUE"""),"D10")</f>
        <v>D10</v>
      </c>
      <c r="B60" s="51" t="str">
        <f>IFERROR(__xludf.DUMMYFUNCTION("""COMPUTED_VALUE"""),"R115")</f>
        <v>R115</v>
      </c>
      <c r="C60" s="52">
        <f>IFERROR(__xludf.DUMMYFUNCTION("""COMPUTED_VALUE"""),0.45291744)</f>
        <v>0.45291744</v>
      </c>
      <c r="D60" s="52">
        <f>IFERROR(__xludf.DUMMYFUNCTION("""COMPUTED_VALUE"""),0.47675520000000005)</f>
        <v>0.4767552</v>
      </c>
      <c r="E60" s="52">
        <f>IFERROR(__xludf.DUMMYFUNCTION("""COMPUTED_VALUE"""),0.5005929600000001)</f>
        <v>0.50059296</v>
      </c>
      <c r="F60" s="53" t="str">
        <f>IFERROR(__xludf.DUMMYFUNCTION("""COMPUTED_VALUE"""),"Group 2")</f>
        <v>Group 2</v>
      </c>
      <c r="G60" s="53" t="str">
        <f>IFERROR(__xludf.DUMMYFUNCTION("""COMPUTED_VALUE"""),"G11")</f>
        <v>G11</v>
      </c>
      <c r="H60" s="54"/>
      <c r="I60" s="55" t="s">
        <v>154</v>
      </c>
      <c r="J60" s="56">
        <f t="shared" si="15"/>
        <v>0.5661468</v>
      </c>
      <c r="K60" s="56">
        <f t="shared" si="16"/>
        <v>0.6257412</v>
      </c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49"/>
    </row>
    <row r="61" ht="20.25" customHeight="1">
      <c r="A61" s="58" t="str">
        <f>IFERROR(__xludf.DUMMYFUNCTION("""COMPUTED_VALUE"""),"D05")</f>
        <v>D05</v>
      </c>
      <c r="B61" s="51" t="str">
        <f>IFERROR(__xludf.DUMMYFUNCTION("""COMPUTED_VALUE"""),"R118")</f>
        <v>R118</v>
      </c>
      <c r="C61" s="52">
        <f>IFERROR(__xludf.DUMMYFUNCTION("""COMPUTED_VALUE"""),0.6111007999999998)</f>
        <v>0.6111008</v>
      </c>
      <c r="D61" s="52">
        <f>IFERROR(__xludf.DUMMYFUNCTION("""COMPUTED_VALUE"""),0.6432639999999998)</f>
        <v>0.643264</v>
      </c>
      <c r="E61" s="52">
        <f>IFERROR(__xludf.DUMMYFUNCTION("""COMPUTED_VALUE"""),0.6754271999999999)</f>
        <v>0.6754272</v>
      </c>
      <c r="F61" s="53" t="str">
        <f>IFERROR(__xludf.DUMMYFUNCTION("""COMPUTED_VALUE"""),"Group 1")</f>
        <v>Group 1</v>
      </c>
      <c r="G61" s="53" t="str">
        <f>IFERROR(__xludf.DUMMYFUNCTION("""COMPUTED_VALUE"""),"G05")</f>
        <v>G05</v>
      </c>
      <c r="H61" s="54"/>
      <c r="I61" s="59" t="s">
        <v>167</v>
      </c>
      <c r="J61" s="60">
        <f>1-K60</f>
        <v>0.3742588</v>
      </c>
      <c r="K61" s="60">
        <f>1-J60</f>
        <v>0.4338532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49"/>
    </row>
    <row r="62" ht="20.25" customHeight="1">
      <c r="A62" s="58" t="str">
        <f>IFERROR(__xludf.DUMMYFUNCTION("""COMPUTED_VALUE"""),"D06")</f>
        <v>D06</v>
      </c>
      <c r="B62" s="51" t="str">
        <f>IFERROR(__xludf.DUMMYFUNCTION("""COMPUTED_VALUE"""),"R120")</f>
        <v>R120</v>
      </c>
      <c r="C62" s="52">
        <f>IFERROR(__xludf.DUMMYFUNCTION("""COMPUTED_VALUE"""),0.6998203500000001)</f>
        <v>0.69982035</v>
      </c>
      <c r="D62" s="52">
        <f>IFERROR(__xludf.DUMMYFUNCTION("""COMPUTED_VALUE"""),0.7366530000000001)</f>
        <v>0.736653</v>
      </c>
      <c r="E62" s="52">
        <f>IFERROR(__xludf.DUMMYFUNCTION("""COMPUTED_VALUE"""),0.7734856500000001)</f>
        <v>0.77348565</v>
      </c>
      <c r="F62" s="53" t="str">
        <f>IFERROR(__xludf.DUMMYFUNCTION("""COMPUTED_VALUE"""),"Group 1")</f>
        <v>Group 1</v>
      </c>
      <c r="G62" s="53" t="str">
        <f>IFERROR(__xludf.DUMMYFUNCTION("""COMPUTED_VALUE"""),"G06")</f>
        <v>G06</v>
      </c>
      <c r="H62" s="54"/>
      <c r="I62" s="55" t="s">
        <v>179</v>
      </c>
      <c r="J62" s="56">
        <f>1-K59</f>
        <v>0.3012135467</v>
      </c>
      <c r="K62" s="56">
        <f>1-J59</f>
        <v>0.3677646375</v>
      </c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49"/>
    </row>
    <row r="63" ht="20.25" customHeight="1">
      <c r="A63" s="58" t="str">
        <f>IFERROR(__xludf.DUMMYFUNCTION("""COMPUTED_VALUE"""),"D07")</f>
        <v>D07</v>
      </c>
      <c r="B63" s="51" t="str">
        <f>IFERROR(__xludf.DUMMYFUNCTION("""COMPUTED_VALUE"""),"R122")</f>
        <v>R122</v>
      </c>
      <c r="C63" s="52">
        <f>IFERROR(__xludf.DUMMYFUNCTION("""COMPUTED_VALUE"""),0.7312729500000001)</f>
        <v>0.73127295</v>
      </c>
      <c r="D63" s="52">
        <f>IFERROR(__xludf.DUMMYFUNCTION("""COMPUTED_VALUE"""),0.7697610000000001)</f>
        <v>0.769761</v>
      </c>
      <c r="E63" s="52">
        <f>IFERROR(__xludf.DUMMYFUNCTION("""COMPUTED_VALUE"""),0.8082490500000001)</f>
        <v>0.80824905</v>
      </c>
      <c r="F63" s="53" t="str">
        <f>IFERROR(__xludf.DUMMYFUNCTION("""COMPUTED_VALUE"""),"Group 1")</f>
        <v>Group 1</v>
      </c>
      <c r="G63" s="53" t="str">
        <f>IFERROR(__xludf.DUMMYFUNCTION("""COMPUTED_VALUE"""),"G07")</f>
        <v>G07</v>
      </c>
      <c r="H63" s="54"/>
      <c r="I63" s="59" t="s">
        <v>176</v>
      </c>
      <c r="J63" s="60">
        <f>VLOOKUP(I63,$B$2:$E$100,2,FALSE)</f>
        <v>0.45291744</v>
      </c>
      <c r="K63" s="60">
        <f>VLOOKUP(I63,$B$2:$E$100,4,FALSE)</f>
        <v>0.50059296</v>
      </c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49"/>
    </row>
    <row r="64" ht="20.25" customHeight="1">
      <c r="A64" s="58" t="str">
        <f>IFERROR(__xludf.DUMMYFUNCTION("""COMPUTED_VALUE"""),"D08")</f>
        <v>D08</v>
      </c>
      <c r="B64" s="51" t="str">
        <f>IFERROR(__xludf.DUMMYFUNCTION("""COMPUTED_VALUE"""),"R124")</f>
        <v>R124</v>
      </c>
      <c r="C64" s="52">
        <f>IFERROR(__xludf.DUMMYFUNCTION("""COMPUTED_VALUE"""),0.24624)</f>
        <v>0.24624</v>
      </c>
      <c r="D64" s="52">
        <f>IFERROR(__xludf.DUMMYFUNCTION("""COMPUTED_VALUE"""),0.2592)</f>
        <v>0.2592</v>
      </c>
      <c r="E64" s="52">
        <f>IFERROR(__xludf.DUMMYFUNCTION("""COMPUTED_VALUE"""),0.27216)</f>
        <v>0.27216</v>
      </c>
      <c r="F64" s="53" t="str">
        <f>IFERROR(__xludf.DUMMYFUNCTION("""COMPUTED_VALUE"""),"Group 2")</f>
        <v>Group 2</v>
      </c>
      <c r="G64" s="53" t="str">
        <f>IFERROR(__xludf.DUMMYFUNCTION("""COMPUTED_VALUE"""),"G13")</f>
        <v>G13</v>
      </c>
      <c r="H64" s="54"/>
      <c r="I64" s="55" t="s">
        <v>183</v>
      </c>
      <c r="J64" s="56">
        <f>1-K63</f>
        <v>0.49940704</v>
      </c>
      <c r="K64" s="56">
        <f>1-J63</f>
        <v>0.54708256</v>
      </c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49"/>
    </row>
    <row r="65" ht="20.25" customHeight="1">
      <c r="A65" s="58" t="str">
        <f>IFERROR(__xludf.DUMMYFUNCTION("""COMPUTED_VALUE"""),"D09")</f>
        <v>D09</v>
      </c>
      <c r="B65" s="51" t="str">
        <f>IFERROR(__xludf.DUMMYFUNCTION("""COMPUTED_VALUE"""),"R125")</f>
        <v>R125</v>
      </c>
      <c r="C65" s="52">
        <f>IFERROR(__xludf.DUMMYFUNCTION("""COMPUTED_VALUE"""),0.632235362519203)</f>
        <v>0.6322353625</v>
      </c>
      <c r="D65" s="52">
        <f>IFERROR(__xludf.DUMMYFUNCTION("""COMPUTED_VALUE"""),0.6655109079149505)</f>
        <v>0.6655109079</v>
      </c>
      <c r="E65" s="52">
        <f>IFERROR(__xludf.DUMMYFUNCTION("""COMPUTED_VALUE"""),0.698786453310698)</f>
        <v>0.6987864533</v>
      </c>
      <c r="F65" s="53" t="str">
        <f>IFERROR(__xludf.DUMMYFUNCTION("""COMPUTED_VALUE"""),"Group 1")</f>
        <v>Group 1</v>
      </c>
      <c r="G65" s="53" t="str">
        <f>IFERROR(__xludf.DUMMYFUNCTION("""COMPUTED_VALUE"""),"G09")</f>
        <v>G09</v>
      </c>
      <c r="H65" s="54"/>
      <c r="I65" s="59" t="s">
        <v>199</v>
      </c>
      <c r="J65" s="60">
        <f>1-K58</f>
        <v>0.45568</v>
      </c>
      <c r="K65" s="60">
        <f>1-J58</f>
        <v>0.50752</v>
      </c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49"/>
    </row>
    <row r="66" ht="20.25" customHeight="1">
      <c r="A66" s="58" t="str">
        <f>IFERROR(__xludf.DUMMYFUNCTION("""COMPUTED_VALUE"""),"D10")</f>
        <v>D10</v>
      </c>
      <c r="B66" s="51" t="str">
        <f>IFERROR(__xludf.DUMMYFUNCTION("""COMPUTED_VALUE"""),"R126")</f>
        <v>R126</v>
      </c>
      <c r="C66" s="52">
        <f>IFERROR(__xludf.DUMMYFUNCTION("""COMPUTED_VALUE"""),0.5661468)</f>
        <v>0.5661468</v>
      </c>
      <c r="D66" s="52">
        <f>IFERROR(__xludf.DUMMYFUNCTION("""COMPUTED_VALUE"""),0.595944)</f>
        <v>0.595944</v>
      </c>
      <c r="E66" s="52">
        <f>IFERROR(__xludf.DUMMYFUNCTION("""COMPUTED_VALUE"""),0.6257412000000001)</f>
        <v>0.6257412</v>
      </c>
      <c r="F66" s="53" t="str">
        <f>IFERROR(__xludf.DUMMYFUNCTION("""COMPUTED_VALUE"""),"Group 1")</f>
        <v>Group 1</v>
      </c>
      <c r="G66" s="53" t="str">
        <f>IFERROR(__xludf.DUMMYFUNCTION("""COMPUTED_VALUE"""),"G10")</f>
        <v>G10</v>
      </c>
      <c r="H66" s="54"/>
      <c r="I66" s="55" t="s">
        <v>193</v>
      </c>
      <c r="J66" s="56">
        <f t="shared" ref="J66:J67" si="17">VLOOKUP(I66,$B$2:$E$100,2,FALSE)</f>
        <v>0.5374000581</v>
      </c>
      <c r="K66" s="56">
        <f t="shared" ref="K66:K67" si="18">VLOOKUP(I66,$B$2:$E$100,4,FALSE)</f>
        <v>0.5939684853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49"/>
    </row>
    <row r="67" ht="20.25" customHeight="1">
      <c r="A67" s="58" t="str">
        <f>IFERROR(__xludf.DUMMYFUNCTION("""COMPUTED_VALUE"""),"D10")</f>
        <v>D10</v>
      </c>
      <c r="B67" s="51" t="str">
        <f>IFERROR(__xludf.DUMMYFUNCTION("""COMPUTED_VALUE"""),"R129")</f>
        <v>R129</v>
      </c>
      <c r="C67" s="52">
        <f>IFERROR(__xludf.DUMMYFUNCTION("""COMPUTED_VALUE"""),0.45291744)</f>
        <v>0.45291744</v>
      </c>
      <c r="D67" s="52">
        <f>IFERROR(__xludf.DUMMYFUNCTION("""COMPUTED_VALUE"""),0.47675520000000005)</f>
        <v>0.4767552</v>
      </c>
      <c r="E67" s="52">
        <f>IFERROR(__xludf.DUMMYFUNCTION("""COMPUTED_VALUE"""),0.5005929600000001)</f>
        <v>0.50059296</v>
      </c>
      <c r="F67" s="53" t="str">
        <f>IFERROR(__xludf.DUMMYFUNCTION("""COMPUTED_VALUE"""),"Group 2")</f>
        <v>Group 2</v>
      </c>
      <c r="G67" s="53" t="str">
        <f>IFERROR(__xludf.DUMMYFUNCTION("""COMPUTED_VALUE"""),"G11")</f>
        <v>G11</v>
      </c>
      <c r="H67" s="54"/>
      <c r="I67" s="59" t="s">
        <v>191</v>
      </c>
      <c r="J67" s="60">
        <f t="shared" si="17"/>
        <v>0.5661468</v>
      </c>
      <c r="K67" s="60">
        <f t="shared" si="18"/>
        <v>0.6257412</v>
      </c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49"/>
    </row>
    <row r="68" ht="20.25" customHeight="1">
      <c r="A68" s="58" t="str">
        <f>IFERROR(__xludf.DUMMYFUNCTION("""COMPUTED_VALUE"""),"D09")</f>
        <v>D09</v>
      </c>
      <c r="B68" s="51" t="str">
        <f>IFERROR(__xludf.DUMMYFUNCTION("""COMPUTED_VALUE"""),"R132")</f>
        <v>R132</v>
      </c>
      <c r="C68" s="52">
        <f>IFERROR(__xludf.DUMMYFUNCTION("""COMPUTED_VALUE"""),0.5374000581413224)</f>
        <v>0.5374000581</v>
      </c>
      <c r="D68" s="52">
        <f>IFERROR(__xludf.DUMMYFUNCTION("""COMPUTED_VALUE"""),0.5656842717277079)</f>
        <v>0.5656842717</v>
      </c>
      <c r="E68" s="52">
        <f>IFERROR(__xludf.DUMMYFUNCTION("""COMPUTED_VALUE"""),0.5939684853140933)</f>
        <v>0.5939684853</v>
      </c>
      <c r="F68" s="53" t="str">
        <f>IFERROR(__xludf.DUMMYFUNCTION("""COMPUTED_VALUE"""),"Group 2")</f>
        <v>Group 2</v>
      </c>
      <c r="G68" s="53" t="str">
        <f>IFERROR(__xludf.DUMMYFUNCTION("""COMPUTED_VALUE"""),"G12")</f>
        <v>G12</v>
      </c>
      <c r="H68" s="54"/>
      <c r="I68" s="55" t="s">
        <v>197</v>
      </c>
      <c r="J68" s="56">
        <f>1-K67</f>
        <v>0.3742588</v>
      </c>
      <c r="K68" s="56">
        <f>1-J67</f>
        <v>0.4338532</v>
      </c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49"/>
    </row>
    <row r="69" ht="20.25" customHeight="1">
      <c r="A69" s="58" t="str">
        <f>IFERROR(__xludf.DUMMYFUNCTION("""COMPUTED_VALUE"""),"D10")</f>
        <v>D10</v>
      </c>
      <c r="B69" s="51" t="str">
        <f>IFERROR(__xludf.DUMMYFUNCTION("""COMPUTED_VALUE"""),"R133")</f>
        <v>R133</v>
      </c>
      <c r="C69" s="52">
        <f>IFERROR(__xludf.DUMMYFUNCTION("""COMPUTED_VALUE"""),0.5661468)</f>
        <v>0.5661468</v>
      </c>
      <c r="D69" s="52">
        <f>IFERROR(__xludf.DUMMYFUNCTION("""COMPUTED_VALUE"""),0.595944)</f>
        <v>0.595944</v>
      </c>
      <c r="E69" s="52">
        <f>IFERROR(__xludf.DUMMYFUNCTION("""COMPUTED_VALUE"""),0.6257412000000001)</f>
        <v>0.6257412</v>
      </c>
      <c r="F69" s="53" t="str">
        <f>IFERROR(__xludf.DUMMYFUNCTION("""COMPUTED_VALUE"""),"Group 1")</f>
        <v>Group 1</v>
      </c>
      <c r="G69" s="53" t="str">
        <f>IFERROR(__xludf.DUMMYFUNCTION("""COMPUTED_VALUE"""),"G10")</f>
        <v>G10</v>
      </c>
      <c r="H69" s="54"/>
      <c r="I69" s="59" t="s">
        <v>205</v>
      </c>
      <c r="J69" s="60">
        <f>1-K66</f>
        <v>0.4060315147</v>
      </c>
      <c r="K69" s="60">
        <f>1-J66</f>
        <v>0.4625999419</v>
      </c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49"/>
    </row>
    <row r="70" ht="20.25" customHeight="1">
      <c r="A70" s="58" t="str">
        <f>IFERROR(__xludf.DUMMYFUNCTION("""COMPUTED_VALUE"""),"D10")</f>
        <v>D10</v>
      </c>
      <c r="B70" s="51" t="str">
        <f>IFERROR(__xludf.DUMMYFUNCTION("""COMPUTED_VALUE"""),"R136")</f>
        <v>R136</v>
      </c>
      <c r="C70" s="52">
        <f>IFERROR(__xludf.DUMMYFUNCTION("""COMPUTED_VALUE"""),0.45291744)</f>
        <v>0.45291744</v>
      </c>
      <c r="D70" s="52">
        <f>IFERROR(__xludf.DUMMYFUNCTION("""COMPUTED_VALUE"""),0.47675520000000005)</f>
        <v>0.4767552</v>
      </c>
      <c r="E70" s="52">
        <f>IFERROR(__xludf.DUMMYFUNCTION("""COMPUTED_VALUE"""),0.5005929600000001)</f>
        <v>0.50059296</v>
      </c>
      <c r="F70" s="53" t="str">
        <f>IFERROR(__xludf.DUMMYFUNCTION("""COMPUTED_VALUE"""),"Group 2")</f>
        <v>Group 2</v>
      </c>
      <c r="G70" s="53" t="str">
        <f>IFERROR(__xludf.DUMMYFUNCTION("""COMPUTED_VALUE"""),"G11")</f>
        <v>G11</v>
      </c>
      <c r="H70" s="54"/>
      <c r="I70" s="55" t="s">
        <v>202</v>
      </c>
      <c r="J70" s="56">
        <f>VLOOKUP(I70,$B$2:$E$100,2,FALSE)</f>
        <v>0.45291744</v>
      </c>
      <c r="K70" s="56">
        <f>VLOOKUP(I70,$B$2:$E$100,4,FALSE)</f>
        <v>0.50059296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49"/>
    </row>
    <row r="71" ht="20.25" customHeight="1">
      <c r="A71" s="58" t="str">
        <f>IFERROR(__xludf.DUMMYFUNCTION("""COMPUTED_VALUE"""),"D03")</f>
        <v>D03</v>
      </c>
      <c r="B71" s="51" t="str">
        <f>IFERROR(__xludf.DUMMYFUNCTION("""COMPUTED_VALUE"""),"R139")</f>
        <v>R139</v>
      </c>
      <c r="C71" s="52">
        <f>IFERROR(__xludf.DUMMYFUNCTION("""COMPUTED_VALUE"""),0.22572000000000003)</f>
        <v>0.22572</v>
      </c>
      <c r="D71" s="52">
        <f>IFERROR(__xludf.DUMMYFUNCTION("""COMPUTED_VALUE"""),0.23760000000000003)</f>
        <v>0.2376</v>
      </c>
      <c r="E71" s="52">
        <f>IFERROR(__xludf.DUMMYFUNCTION("""COMPUTED_VALUE"""),0.24948000000000004)</f>
        <v>0.24948</v>
      </c>
      <c r="F71" s="53" t="str">
        <f>IFERROR(__xludf.DUMMYFUNCTION("""COMPUTED_VALUE"""),"Group 2")</f>
        <v>Group 2</v>
      </c>
      <c r="G71" s="53" t="str">
        <f>IFERROR(__xludf.DUMMYFUNCTION("""COMPUTED_VALUE"""),"G14")</f>
        <v>G14</v>
      </c>
      <c r="H71" s="54"/>
      <c r="I71" s="59" t="s">
        <v>210</v>
      </c>
      <c r="J71" s="60">
        <f>1-K70</f>
        <v>0.49940704</v>
      </c>
      <c r="K71" s="60">
        <f>1-J70</f>
        <v>0.54708256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49"/>
    </row>
    <row r="72" ht="20.25" customHeight="1">
      <c r="A72" s="58" t="str">
        <f>IFERROR(__xludf.DUMMYFUNCTION("""COMPUTED_VALUE"""),"D04")</f>
        <v>D04</v>
      </c>
      <c r="B72" s="51" t="str">
        <f>IFERROR(__xludf.DUMMYFUNCTION("""COMPUTED_VALUE"""),"R141")</f>
        <v>R141</v>
      </c>
      <c r="C72" s="52">
        <f>IFERROR(__xludf.DUMMYFUNCTION("""COMPUTED_VALUE"""),0.19660707763199997)</f>
        <v>0.1966070776</v>
      </c>
      <c r="D72" s="52">
        <f>IFERROR(__xludf.DUMMYFUNCTION("""COMPUTED_VALUE"""),0.20695481855999998)</f>
        <v>0.2069548186</v>
      </c>
      <c r="E72" s="52">
        <f>IFERROR(__xludf.DUMMYFUNCTION("""COMPUTED_VALUE"""),0.21730255948799998)</f>
        <v>0.2173025595</v>
      </c>
      <c r="F72" s="53" t="str">
        <f>IFERROR(__xludf.DUMMYFUNCTION("""COMPUTED_VALUE"""),"Group 2")</f>
        <v>Group 2</v>
      </c>
      <c r="G72" s="53" t="str">
        <f>IFERROR(__xludf.DUMMYFUNCTION("""COMPUTED_VALUE"""),"G15")</f>
        <v>G15</v>
      </c>
      <c r="H72" s="54"/>
      <c r="I72" s="55" t="s">
        <v>225</v>
      </c>
      <c r="J72" s="56">
        <f>1-K51</f>
        <v>0.7826974405</v>
      </c>
      <c r="K72" s="56">
        <f>1-J51</f>
        <v>0.8033929224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49"/>
    </row>
    <row r="73" ht="20.25" customHeight="1">
      <c r="A73" s="58" t="str">
        <f>IFERROR(__xludf.DUMMYFUNCTION("""COMPUTED_VALUE"""),"D05")</f>
        <v>D05</v>
      </c>
      <c r="B73" s="51" t="str">
        <f>IFERROR(__xludf.DUMMYFUNCTION("""COMPUTED_VALUE"""),"R142")</f>
        <v>R142</v>
      </c>
      <c r="C73" s="52">
        <f>IFERROR(__xludf.DUMMYFUNCTION("""COMPUTED_VALUE"""),0.6111007999999998)</f>
        <v>0.6111008</v>
      </c>
      <c r="D73" s="52">
        <f>IFERROR(__xludf.DUMMYFUNCTION("""COMPUTED_VALUE"""),0.6432639999999998)</f>
        <v>0.643264</v>
      </c>
      <c r="E73" s="52">
        <f>IFERROR(__xludf.DUMMYFUNCTION("""COMPUTED_VALUE"""),0.6754271999999999)</f>
        <v>0.6754272</v>
      </c>
      <c r="F73" s="53" t="str">
        <f>IFERROR(__xludf.DUMMYFUNCTION("""COMPUTED_VALUE"""),"Group 1")</f>
        <v>Group 1</v>
      </c>
      <c r="G73" s="53" t="str">
        <f>IFERROR(__xludf.DUMMYFUNCTION("""COMPUTED_VALUE"""),"G05")</f>
        <v>G05</v>
      </c>
      <c r="H73" s="54"/>
      <c r="I73" s="59" t="s">
        <v>212</v>
      </c>
      <c r="J73" s="60">
        <f>VLOOKUP(I73,$B$2:$E$100,2,FALSE)</f>
        <v>0.6111008</v>
      </c>
      <c r="K73" s="60">
        <f>VLOOKUP(I73,$B$2:$E$100,4,FALSE)</f>
        <v>0.6754272</v>
      </c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49"/>
    </row>
    <row r="74" ht="20.25" customHeight="1">
      <c r="A74" s="58" t="str">
        <f>IFERROR(__xludf.DUMMYFUNCTION("""COMPUTED_VALUE"""),"D06")</f>
        <v>D06</v>
      </c>
      <c r="B74" s="51" t="str">
        <f>IFERROR(__xludf.DUMMYFUNCTION("""COMPUTED_VALUE"""),"R144")</f>
        <v>R144</v>
      </c>
      <c r="C74" s="52">
        <f>IFERROR(__xludf.DUMMYFUNCTION("""COMPUTED_VALUE"""),0.6998203500000001)</f>
        <v>0.69982035</v>
      </c>
      <c r="D74" s="52">
        <f>IFERROR(__xludf.DUMMYFUNCTION("""COMPUTED_VALUE"""),0.7366530000000001)</f>
        <v>0.736653</v>
      </c>
      <c r="E74" s="52">
        <f>IFERROR(__xludf.DUMMYFUNCTION("""COMPUTED_VALUE"""),0.7734856500000001)</f>
        <v>0.77348565</v>
      </c>
      <c r="F74" s="53" t="str">
        <f>IFERROR(__xludf.DUMMYFUNCTION("""COMPUTED_VALUE"""),"Group 1")</f>
        <v>Group 1</v>
      </c>
      <c r="G74" s="53" t="str">
        <f>IFERROR(__xludf.DUMMYFUNCTION("""COMPUTED_VALUE"""),"G06")</f>
        <v>G06</v>
      </c>
      <c r="H74" s="54"/>
      <c r="I74" s="55" t="s">
        <v>235</v>
      </c>
      <c r="J74" s="56">
        <f>1-K73</f>
        <v>0.3245728</v>
      </c>
      <c r="K74" s="56">
        <f>1-J73</f>
        <v>0.3888992</v>
      </c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49"/>
    </row>
    <row r="75" ht="20.25" customHeight="1">
      <c r="A75" s="58" t="str">
        <f>IFERROR(__xludf.DUMMYFUNCTION("""COMPUTED_VALUE"""),"D07")</f>
        <v>D07</v>
      </c>
      <c r="B75" s="51" t="str">
        <f>IFERROR(__xludf.DUMMYFUNCTION("""COMPUTED_VALUE"""),"R146")</f>
        <v>R146</v>
      </c>
      <c r="C75" s="52">
        <f>IFERROR(__xludf.DUMMYFUNCTION("""COMPUTED_VALUE"""),0.7312729500000001)</f>
        <v>0.73127295</v>
      </c>
      <c r="D75" s="52">
        <f>IFERROR(__xludf.DUMMYFUNCTION("""COMPUTED_VALUE"""),0.7697610000000001)</f>
        <v>0.769761</v>
      </c>
      <c r="E75" s="52">
        <f>IFERROR(__xludf.DUMMYFUNCTION("""COMPUTED_VALUE"""),0.8082490500000001)</f>
        <v>0.80824905</v>
      </c>
      <c r="F75" s="53" t="str">
        <f>IFERROR(__xludf.DUMMYFUNCTION("""COMPUTED_VALUE"""),"Group 1")</f>
        <v>Group 1</v>
      </c>
      <c r="G75" s="53" t="str">
        <f>IFERROR(__xludf.DUMMYFUNCTION("""COMPUTED_VALUE"""),"G07")</f>
        <v>G07</v>
      </c>
      <c r="H75" s="54"/>
      <c r="I75" s="59" t="s">
        <v>219</v>
      </c>
      <c r="J75" s="60">
        <f>VLOOKUP(I75,$B$2:$E$100,2,FALSE)</f>
        <v>0.69982035</v>
      </c>
      <c r="K75" s="60">
        <f>VLOOKUP(I75,$B$2:$E$100,4,FALSE)</f>
        <v>0.77348565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49"/>
    </row>
    <row r="76" ht="20.25" customHeight="1">
      <c r="A76" s="58" t="str">
        <f>IFERROR(__xludf.DUMMYFUNCTION("""COMPUTED_VALUE"""),"D08")</f>
        <v>D08</v>
      </c>
      <c r="B76" s="51" t="str">
        <f>IFERROR(__xludf.DUMMYFUNCTION("""COMPUTED_VALUE"""),"R148")</f>
        <v>R148</v>
      </c>
      <c r="C76" s="52">
        <f>IFERROR(__xludf.DUMMYFUNCTION("""COMPUTED_VALUE"""),0.49248)</f>
        <v>0.49248</v>
      </c>
      <c r="D76" s="52">
        <f>IFERROR(__xludf.DUMMYFUNCTION("""COMPUTED_VALUE"""),0.5184)</f>
        <v>0.5184</v>
      </c>
      <c r="E76" s="52">
        <f>IFERROR(__xludf.DUMMYFUNCTION("""COMPUTED_VALUE"""),0.54432)</f>
        <v>0.54432</v>
      </c>
      <c r="F76" s="53" t="str">
        <f>IFERROR(__xludf.DUMMYFUNCTION("""COMPUTED_VALUE"""),"Group 1")</f>
        <v>Group 1</v>
      </c>
      <c r="G76" s="53" t="str">
        <f>IFERROR(__xludf.DUMMYFUNCTION("""COMPUTED_VALUE"""),"G08")</f>
        <v>G08</v>
      </c>
      <c r="H76" s="54"/>
      <c r="I76" s="55" t="s">
        <v>243</v>
      </c>
      <c r="J76" s="56">
        <f>1-K75</f>
        <v>0.22651435</v>
      </c>
      <c r="K76" s="56">
        <f>1-J75</f>
        <v>0.30017965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49"/>
    </row>
    <row r="77" ht="20.25" customHeight="1">
      <c r="A77" s="58" t="str">
        <f>IFERROR(__xludf.DUMMYFUNCTION("""COMPUTED_VALUE"""),"D09")</f>
        <v>D09</v>
      </c>
      <c r="B77" s="51" t="str">
        <f>IFERROR(__xludf.DUMMYFUNCTION("""COMPUTED_VALUE"""),"R149")</f>
        <v>R149</v>
      </c>
      <c r="C77" s="52">
        <f>IFERROR(__xludf.DUMMYFUNCTION("""COMPUTED_VALUE"""),0.632235362519203)</f>
        <v>0.6322353625</v>
      </c>
      <c r="D77" s="52">
        <f>IFERROR(__xludf.DUMMYFUNCTION("""COMPUTED_VALUE"""),0.6655109079149505)</f>
        <v>0.6655109079</v>
      </c>
      <c r="E77" s="52">
        <f>IFERROR(__xludf.DUMMYFUNCTION("""COMPUTED_VALUE"""),0.698786453310698)</f>
        <v>0.6987864533</v>
      </c>
      <c r="F77" s="53" t="str">
        <f>IFERROR(__xludf.DUMMYFUNCTION("""COMPUTED_VALUE"""),"Group 1")</f>
        <v>Group 1</v>
      </c>
      <c r="G77" s="53" t="str">
        <f>IFERROR(__xludf.DUMMYFUNCTION("""COMPUTED_VALUE"""),"G09")</f>
        <v>G09</v>
      </c>
      <c r="H77" s="54"/>
      <c r="I77" s="59" t="s">
        <v>230</v>
      </c>
      <c r="J77" s="60">
        <f>VLOOKUP(I77,$B$2:$E$100,2,FALSE)</f>
        <v>0.73127295</v>
      </c>
      <c r="K77" s="60">
        <f>VLOOKUP(I77,$B$2:$E$100,4,FALSE)</f>
        <v>0.80824905</v>
      </c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49"/>
    </row>
    <row r="78" ht="20.25" customHeight="1">
      <c r="A78" s="58" t="str">
        <f>IFERROR(__xludf.DUMMYFUNCTION("""COMPUTED_VALUE"""),"D10")</f>
        <v>D10</v>
      </c>
      <c r="B78" s="51" t="str">
        <f>IFERROR(__xludf.DUMMYFUNCTION("""COMPUTED_VALUE"""),"R150")</f>
        <v>R150</v>
      </c>
      <c r="C78" s="52">
        <f>IFERROR(__xludf.DUMMYFUNCTION("""COMPUTED_VALUE"""),0.5661468)</f>
        <v>0.5661468</v>
      </c>
      <c r="D78" s="52">
        <f>IFERROR(__xludf.DUMMYFUNCTION("""COMPUTED_VALUE"""),0.595944)</f>
        <v>0.595944</v>
      </c>
      <c r="E78" s="52">
        <f>IFERROR(__xludf.DUMMYFUNCTION("""COMPUTED_VALUE"""),0.6257412000000001)</f>
        <v>0.6257412</v>
      </c>
      <c r="F78" s="53" t="str">
        <f>IFERROR(__xludf.DUMMYFUNCTION("""COMPUTED_VALUE"""),"Group 1")</f>
        <v>Group 1</v>
      </c>
      <c r="G78" s="53" t="str">
        <f>IFERROR(__xludf.DUMMYFUNCTION("""COMPUTED_VALUE"""),"G10")</f>
        <v>G10</v>
      </c>
      <c r="H78" s="54"/>
      <c r="I78" s="55" t="s">
        <v>254</v>
      </c>
      <c r="J78" s="56">
        <f>1-K77</f>
        <v>0.19175095</v>
      </c>
      <c r="K78" s="56">
        <f>1-J77</f>
        <v>0.26872705</v>
      </c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49"/>
    </row>
    <row r="79" ht="20.25" customHeight="1">
      <c r="A79" s="58" t="str">
        <f>IFERROR(__xludf.DUMMYFUNCTION("""COMPUTED_VALUE"""),"D10")</f>
        <v>D10</v>
      </c>
      <c r="B79" s="51" t="str">
        <f>IFERROR(__xludf.DUMMYFUNCTION("""COMPUTED_VALUE"""),"R153")</f>
        <v>R153</v>
      </c>
      <c r="C79" s="52">
        <f>IFERROR(__xludf.DUMMYFUNCTION("""COMPUTED_VALUE"""),0.45291744)</f>
        <v>0.45291744</v>
      </c>
      <c r="D79" s="52">
        <f>IFERROR(__xludf.DUMMYFUNCTION("""COMPUTED_VALUE"""),0.47675520000000005)</f>
        <v>0.4767552</v>
      </c>
      <c r="E79" s="52">
        <f>IFERROR(__xludf.DUMMYFUNCTION("""COMPUTED_VALUE"""),0.5005929600000001)</f>
        <v>0.50059296</v>
      </c>
      <c r="F79" s="53" t="str">
        <f>IFERROR(__xludf.DUMMYFUNCTION("""COMPUTED_VALUE"""),"Group 2")</f>
        <v>Group 2</v>
      </c>
      <c r="G79" s="53" t="str">
        <f>IFERROR(__xludf.DUMMYFUNCTION("""COMPUTED_VALUE"""),"G11")</f>
        <v>G11</v>
      </c>
      <c r="H79" s="54"/>
      <c r="I79" s="59" t="s">
        <v>239</v>
      </c>
      <c r="J79" s="60">
        <f t="shared" ref="J79:J81" si="19">VLOOKUP(I79,$B$2:$E$100,2,FALSE)</f>
        <v>0.24624</v>
      </c>
      <c r="K79" s="60">
        <f t="shared" ref="K79:K81" si="20">VLOOKUP(I79,$B$2:$E$100,4,FALSE)</f>
        <v>0.27216</v>
      </c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49"/>
    </row>
    <row r="80" ht="20.25" customHeight="1">
      <c r="A80" s="58" t="str">
        <f>IFERROR(__xludf.DUMMYFUNCTION("""COMPUTED_VALUE"""),"D09")</f>
        <v>D09</v>
      </c>
      <c r="B80" s="51" t="str">
        <f>IFERROR(__xludf.DUMMYFUNCTION("""COMPUTED_VALUE"""),"R156")</f>
        <v>R156</v>
      </c>
      <c r="C80" s="52">
        <f>IFERROR(__xludf.DUMMYFUNCTION("""COMPUTED_VALUE"""),0.5374000581413224)</f>
        <v>0.5374000581</v>
      </c>
      <c r="D80" s="52">
        <f>IFERROR(__xludf.DUMMYFUNCTION("""COMPUTED_VALUE"""),0.5656842717277079)</f>
        <v>0.5656842717</v>
      </c>
      <c r="E80" s="52">
        <f>IFERROR(__xludf.DUMMYFUNCTION("""COMPUTED_VALUE"""),0.5939684853140933)</f>
        <v>0.5939684853</v>
      </c>
      <c r="F80" s="53" t="str">
        <f>IFERROR(__xludf.DUMMYFUNCTION("""COMPUTED_VALUE"""),"Group 2")</f>
        <v>Group 2</v>
      </c>
      <c r="G80" s="53" t="str">
        <f>IFERROR(__xludf.DUMMYFUNCTION("""COMPUTED_VALUE"""),"G12")</f>
        <v>G12</v>
      </c>
      <c r="H80" s="54"/>
      <c r="I80" s="55" t="s">
        <v>228</v>
      </c>
      <c r="J80" s="56">
        <f t="shared" si="19"/>
        <v>0.6322353625</v>
      </c>
      <c r="K80" s="56">
        <f t="shared" si="20"/>
        <v>0.6987864533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49"/>
    </row>
    <row r="81" ht="20.25" customHeight="1">
      <c r="A81" s="58" t="str">
        <f>IFERROR(__xludf.DUMMYFUNCTION("""COMPUTED_VALUE"""),"D10")</f>
        <v>D10</v>
      </c>
      <c r="B81" s="51" t="str">
        <f>IFERROR(__xludf.DUMMYFUNCTION("""COMPUTED_VALUE"""),"R157")</f>
        <v>R157</v>
      </c>
      <c r="C81" s="52">
        <f>IFERROR(__xludf.DUMMYFUNCTION("""COMPUTED_VALUE"""),0.5661468)</f>
        <v>0.5661468</v>
      </c>
      <c r="D81" s="52">
        <f>IFERROR(__xludf.DUMMYFUNCTION("""COMPUTED_VALUE"""),0.595944)</f>
        <v>0.595944</v>
      </c>
      <c r="E81" s="52">
        <f>IFERROR(__xludf.DUMMYFUNCTION("""COMPUTED_VALUE"""),0.6257412000000001)</f>
        <v>0.6257412</v>
      </c>
      <c r="F81" s="53" t="str">
        <f>IFERROR(__xludf.DUMMYFUNCTION("""COMPUTED_VALUE"""),"Group 1")</f>
        <v>Group 1</v>
      </c>
      <c r="G81" s="53" t="str">
        <f>IFERROR(__xludf.DUMMYFUNCTION("""COMPUTED_VALUE"""),"G10")</f>
        <v>G10</v>
      </c>
      <c r="H81" s="54"/>
      <c r="I81" s="59" t="s">
        <v>222</v>
      </c>
      <c r="J81" s="60">
        <f t="shared" si="19"/>
        <v>0.5661468</v>
      </c>
      <c r="K81" s="60">
        <f t="shared" si="20"/>
        <v>0.6257412</v>
      </c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49"/>
    </row>
    <row r="82" ht="20.25" customHeight="1">
      <c r="A82" s="58" t="str">
        <f>IFERROR(__xludf.DUMMYFUNCTION("""COMPUTED_VALUE"""),"D10")</f>
        <v>D10</v>
      </c>
      <c r="B82" s="51" t="str">
        <f>IFERROR(__xludf.DUMMYFUNCTION("""COMPUTED_VALUE"""),"R160")</f>
        <v>R160</v>
      </c>
      <c r="C82" s="52">
        <f>IFERROR(__xludf.DUMMYFUNCTION("""COMPUTED_VALUE"""),0.45291744)</f>
        <v>0.45291744</v>
      </c>
      <c r="D82" s="52">
        <f>IFERROR(__xludf.DUMMYFUNCTION("""COMPUTED_VALUE"""),0.47675520000000005)</f>
        <v>0.4767552</v>
      </c>
      <c r="E82" s="52">
        <f>IFERROR(__xludf.DUMMYFUNCTION("""COMPUTED_VALUE"""),0.5005929600000001)</f>
        <v>0.50059296</v>
      </c>
      <c r="F82" s="53" t="str">
        <f>IFERROR(__xludf.DUMMYFUNCTION("""COMPUTED_VALUE"""),"Group 2")</f>
        <v>Group 2</v>
      </c>
      <c r="G82" s="53" t="str">
        <f>IFERROR(__xludf.DUMMYFUNCTION("""COMPUTED_VALUE"""),"G11")</f>
        <v>G11</v>
      </c>
      <c r="H82" s="54"/>
      <c r="I82" s="55" t="s">
        <v>237</v>
      </c>
      <c r="J82" s="56">
        <f>1-K81</f>
        <v>0.3742588</v>
      </c>
      <c r="K82" s="56">
        <f>1-J81</f>
        <v>0.4338532</v>
      </c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49"/>
    </row>
    <row r="83" ht="20.25" customHeight="1">
      <c r="A83" s="58" t="str">
        <f>IFERROR(__xludf.DUMMYFUNCTION("""COMPUTED_VALUE"""),"D05")</f>
        <v>D05</v>
      </c>
      <c r="B83" s="51" t="str">
        <f>IFERROR(__xludf.DUMMYFUNCTION("""COMPUTED_VALUE"""),"R163")</f>
        <v>R163</v>
      </c>
      <c r="C83" s="52">
        <f>IFERROR(__xludf.DUMMYFUNCTION("""COMPUTED_VALUE"""),0.6111007999999998)</f>
        <v>0.6111008</v>
      </c>
      <c r="D83" s="52">
        <f>IFERROR(__xludf.DUMMYFUNCTION("""COMPUTED_VALUE"""),0.6432639999999998)</f>
        <v>0.643264</v>
      </c>
      <c r="E83" s="52">
        <f>IFERROR(__xludf.DUMMYFUNCTION("""COMPUTED_VALUE"""),0.6754271999999999)</f>
        <v>0.6754272</v>
      </c>
      <c r="F83" s="53" t="str">
        <f>IFERROR(__xludf.DUMMYFUNCTION("""COMPUTED_VALUE"""),"Group 1")</f>
        <v>Group 1</v>
      </c>
      <c r="G83" s="53" t="str">
        <f>IFERROR(__xludf.DUMMYFUNCTION("""COMPUTED_VALUE"""),"G05")</f>
        <v>G05</v>
      </c>
      <c r="H83" s="54"/>
      <c r="I83" s="59" t="s">
        <v>248</v>
      </c>
      <c r="J83" s="60">
        <f>1-K80</f>
        <v>0.3012135467</v>
      </c>
      <c r="K83" s="60">
        <f>1-J80</f>
        <v>0.3677646375</v>
      </c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49"/>
    </row>
    <row r="84" ht="20.25" customHeight="1">
      <c r="A84" s="58" t="str">
        <f>IFERROR(__xludf.DUMMYFUNCTION("""COMPUTED_VALUE"""),"D06")</f>
        <v>D06</v>
      </c>
      <c r="B84" s="51" t="str">
        <f>IFERROR(__xludf.DUMMYFUNCTION("""COMPUTED_VALUE"""),"R165")</f>
        <v>R165</v>
      </c>
      <c r="C84" s="52">
        <f>IFERROR(__xludf.DUMMYFUNCTION("""COMPUTED_VALUE"""),0.6998203500000001)</f>
        <v>0.69982035</v>
      </c>
      <c r="D84" s="52">
        <f>IFERROR(__xludf.DUMMYFUNCTION("""COMPUTED_VALUE"""),0.7366530000000001)</f>
        <v>0.736653</v>
      </c>
      <c r="E84" s="52">
        <f>IFERROR(__xludf.DUMMYFUNCTION("""COMPUTED_VALUE"""),0.7734856500000001)</f>
        <v>0.77348565</v>
      </c>
      <c r="F84" s="53" t="str">
        <f>IFERROR(__xludf.DUMMYFUNCTION("""COMPUTED_VALUE"""),"Group 1")</f>
        <v>Group 1</v>
      </c>
      <c r="G84" s="53" t="str">
        <f>IFERROR(__xludf.DUMMYFUNCTION("""COMPUTED_VALUE"""),"G06")</f>
        <v>G06</v>
      </c>
      <c r="H84" s="54"/>
      <c r="I84" s="55" t="s">
        <v>244</v>
      </c>
      <c r="J84" s="56">
        <f>VLOOKUP(I84,$B$2:$E$100,2,FALSE)</f>
        <v>0.45291744</v>
      </c>
      <c r="K84" s="56">
        <f>VLOOKUP(I84,$B$2:$E$100,4,FALSE)</f>
        <v>0.50059296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49"/>
    </row>
    <row r="85" ht="20.25" customHeight="1">
      <c r="A85" s="58" t="str">
        <f>IFERROR(__xludf.DUMMYFUNCTION("""COMPUTED_VALUE"""),"D07")</f>
        <v>D07</v>
      </c>
      <c r="B85" s="51" t="str">
        <f>IFERROR(__xludf.DUMMYFUNCTION("""COMPUTED_VALUE"""),"R167")</f>
        <v>R167</v>
      </c>
      <c r="C85" s="52">
        <f>IFERROR(__xludf.DUMMYFUNCTION("""COMPUTED_VALUE"""),0.7312729500000001)</f>
        <v>0.73127295</v>
      </c>
      <c r="D85" s="52">
        <f>IFERROR(__xludf.DUMMYFUNCTION("""COMPUTED_VALUE"""),0.7697610000000001)</f>
        <v>0.769761</v>
      </c>
      <c r="E85" s="52">
        <f>IFERROR(__xludf.DUMMYFUNCTION("""COMPUTED_VALUE"""),0.8082490500000001)</f>
        <v>0.80824905</v>
      </c>
      <c r="F85" s="53" t="str">
        <f>IFERROR(__xludf.DUMMYFUNCTION("""COMPUTED_VALUE"""),"Group 1")</f>
        <v>Group 1</v>
      </c>
      <c r="G85" s="53" t="str">
        <f>IFERROR(__xludf.DUMMYFUNCTION("""COMPUTED_VALUE"""),"G07")</f>
        <v>G07</v>
      </c>
      <c r="H85" s="54"/>
      <c r="I85" s="59" t="s">
        <v>252</v>
      </c>
      <c r="J85" s="60">
        <f>1-K84</f>
        <v>0.49940704</v>
      </c>
      <c r="K85" s="60">
        <f>1-J84</f>
        <v>0.54708256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49"/>
    </row>
    <row r="86" ht="20.25" customHeight="1">
      <c r="A86" s="58" t="str">
        <f>IFERROR(__xludf.DUMMYFUNCTION("""COMPUTED_VALUE"""),"D08")</f>
        <v>D08</v>
      </c>
      <c r="B86" s="51" t="str">
        <f>IFERROR(__xludf.DUMMYFUNCTION("""COMPUTED_VALUE"""),"R169")</f>
        <v>R169</v>
      </c>
      <c r="C86" s="52">
        <f>IFERROR(__xludf.DUMMYFUNCTION("""COMPUTED_VALUE"""),0.24624)</f>
        <v>0.24624</v>
      </c>
      <c r="D86" s="52">
        <f>IFERROR(__xludf.DUMMYFUNCTION("""COMPUTED_VALUE"""),0.2592)</f>
        <v>0.2592</v>
      </c>
      <c r="E86" s="52">
        <f>IFERROR(__xludf.DUMMYFUNCTION("""COMPUTED_VALUE"""),0.27216)</f>
        <v>0.27216</v>
      </c>
      <c r="F86" s="53" t="str">
        <f>IFERROR(__xludf.DUMMYFUNCTION("""COMPUTED_VALUE"""),"Group 1")</f>
        <v>Group 1</v>
      </c>
      <c r="G86" s="53" t="str">
        <f>IFERROR(__xludf.DUMMYFUNCTION("""COMPUTED_VALUE"""),"G08")</f>
        <v>G08</v>
      </c>
      <c r="H86" s="54"/>
      <c r="I86" s="55" t="s">
        <v>266</v>
      </c>
      <c r="J86" s="56">
        <f>1-K79</f>
        <v>0.72784</v>
      </c>
      <c r="K86" s="56">
        <f>1-J79</f>
        <v>0.75376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49"/>
    </row>
    <row r="87" ht="20.25" customHeight="1">
      <c r="A87" s="58" t="str">
        <f>IFERROR(__xludf.DUMMYFUNCTION("""COMPUTED_VALUE"""),"D09")</f>
        <v>D09</v>
      </c>
      <c r="B87" s="51" t="str">
        <f>IFERROR(__xludf.DUMMYFUNCTION("""COMPUTED_VALUE"""),"R170")</f>
        <v>R170</v>
      </c>
      <c r="C87" s="52">
        <f>IFERROR(__xludf.DUMMYFUNCTION("""COMPUTED_VALUE"""),0.632235362519203)</f>
        <v>0.6322353625</v>
      </c>
      <c r="D87" s="52">
        <f>IFERROR(__xludf.DUMMYFUNCTION("""COMPUTED_VALUE"""),0.6655109079149505)</f>
        <v>0.6655109079</v>
      </c>
      <c r="E87" s="52">
        <f>IFERROR(__xludf.DUMMYFUNCTION("""COMPUTED_VALUE"""),0.698786453310698)</f>
        <v>0.6987864533</v>
      </c>
      <c r="F87" s="53" t="str">
        <f>IFERROR(__xludf.DUMMYFUNCTION("""COMPUTED_VALUE"""),"Group 1")</f>
        <v>Group 1</v>
      </c>
      <c r="G87" s="53" t="str">
        <f>IFERROR(__xludf.DUMMYFUNCTION("""COMPUTED_VALUE"""),"G09")</f>
        <v>G09</v>
      </c>
      <c r="H87" s="54"/>
      <c r="I87" s="59" t="s">
        <v>260</v>
      </c>
      <c r="J87" s="60">
        <f t="shared" ref="J87:J88" si="21">VLOOKUP(I87,$B$2:$E$100,2,FALSE)</f>
        <v>0.5374000581</v>
      </c>
      <c r="K87" s="60">
        <f t="shared" ref="K87:K88" si="22">VLOOKUP(I87,$B$2:$E$100,4,FALSE)</f>
        <v>0.5939684853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49"/>
    </row>
    <row r="88" ht="20.25" customHeight="1">
      <c r="A88" s="58" t="str">
        <f>IFERROR(__xludf.DUMMYFUNCTION("""COMPUTED_VALUE"""),"D10")</f>
        <v>D10</v>
      </c>
      <c r="B88" s="51" t="str">
        <f>IFERROR(__xludf.DUMMYFUNCTION("""COMPUTED_VALUE"""),"R171")</f>
        <v>R171</v>
      </c>
      <c r="C88" s="52">
        <f>IFERROR(__xludf.DUMMYFUNCTION("""COMPUTED_VALUE"""),0.5661468)</f>
        <v>0.5661468</v>
      </c>
      <c r="D88" s="52">
        <f>IFERROR(__xludf.DUMMYFUNCTION("""COMPUTED_VALUE"""),0.595944)</f>
        <v>0.595944</v>
      </c>
      <c r="E88" s="52">
        <f>IFERROR(__xludf.DUMMYFUNCTION("""COMPUTED_VALUE"""),0.6257412000000001)</f>
        <v>0.6257412</v>
      </c>
      <c r="F88" s="53" t="str">
        <f>IFERROR(__xludf.DUMMYFUNCTION("""COMPUTED_VALUE"""),"Group 1")</f>
        <v>Group 1</v>
      </c>
      <c r="G88" s="53" t="str">
        <f>IFERROR(__xludf.DUMMYFUNCTION("""COMPUTED_VALUE"""),"G10")</f>
        <v>G10</v>
      </c>
      <c r="H88" s="54"/>
      <c r="I88" s="55" t="s">
        <v>258</v>
      </c>
      <c r="J88" s="56">
        <f t="shared" si="21"/>
        <v>0.5661468</v>
      </c>
      <c r="K88" s="56">
        <f t="shared" si="22"/>
        <v>0.6257412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49"/>
    </row>
    <row r="89" ht="20.25" customHeight="1">
      <c r="A89" s="58" t="str">
        <f>IFERROR(__xludf.DUMMYFUNCTION("""COMPUTED_VALUE"""),"D10")</f>
        <v>D10</v>
      </c>
      <c r="B89" s="51" t="str">
        <f>IFERROR(__xludf.DUMMYFUNCTION("""COMPUTED_VALUE"""),"R174")</f>
        <v>R174</v>
      </c>
      <c r="C89" s="52">
        <f>IFERROR(__xludf.DUMMYFUNCTION("""COMPUTED_VALUE"""),0.45291744)</f>
        <v>0.45291744</v>
      </c>
      <c r="D89" s="52">
        <f>IFERROR(__xludf.DUMMYFUNCTION("""COMPUTED_VALUE"""),0.47675520000000005)</f>
        <v>0.4767552</v>
      </c>
      <c r="E89" s="52">
        <f>IFERROR(__xludf.DUMMYFUNCTION("""COMPUTED_VALUE"""),0.5005929600000001)</f>
        <v>0.50059296</v>
      </c>
      <c r="F89" s="53" t="str">
        <f>IFERROR(__xludf.DUMMYFUNCTION("""COMPUTED_VALUE"""),"Group 2")</f>
        <v>Group 2</v>
      </c>
      <c r="G89" s="53" t="str">
        <f>IFERROR(__xludf.DUMMYFUNCTION("""COMPUTED_VALUE"""),"G11")</f>
        <v>G11</v>
      </c>
      <c r="H89" s="54"/>
      <c r="I89" s="59" t="s">
        <v>264</v>
      </c>
      <c r="J89" s="60">
        <f>1-K88</f>
        <v>0.3742588</v>
      </c>
      <c r="K89" s="60">
        <f>1-J88</f>
        <v>0.4338532</v>
      </c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49"/>
    </row>
    <row r="90" ht="20.25" customHeight="1">
      <c r="A90" s="58" t="str">
        <f>IFERROR(__xludf.DUMMYFUNCTION("""COMPUTED_VALUE"""),"D09")</f>
        <v>D09</v>
      </c>
      <c r="B90" s="51" t="str">
        <f>IFERROR(__xludf.DUMMYFUNCTION("""COMPUTED_VALUE"""),"R177")</f>
        <v>R177</v>
      </c>
      <c r="C90" s="52">
        <f>IFERROR(__xludf.DUMMYFUNCTION("""COMPUTED_VALUE"""),0.5374000581413224)</f>
        <v>0.5374000581</v>
      </c>
      <c r="D90" s="52">
        <f>IFERROR(__xludf.DUMMYFUNCTION("""COMPUTED_VALUE"""),0.5656842717277079)</f>
        <v>0.5656842717</v>
      </c>
      <c r="E90" s="52">
        <f>IFERROR(__xludf.DUMMYFUNCTION("""COMPUTED_VALUE"""),0.5939684853140933)</f>
        <v>0.5939684853</v>
      </c>
      <c r="F90" s="53" t="str">
        <f>IFERROR(__xludf.DUMMYFUNCTION("""COMPUTED_VALUE"""),"Group 2")</f>
        <v>Group 2</v>
      </c>
      <c r="G90" s="53" t="str">
        <f>IFERROR(__xludf.DUMMYFUNCTION("""COMPUTED_VALUE"""),"G12")</f>
        <v>G12</v>
      </c>
      <c r="H90" s="54"/>
      <c r="I90" s="55" t="s">
        <v>272</v>
      </c>
      <c r="J90" s="56">
        <f>1-K87</f>
        <v>0.4060315147</v>
      </c>
      <c r="K90" s="56">
        <f>1-J87</f>
        <v>0.4625999419</v>
      </c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49"/>
    </row>
    <row r="91" ht="20.25" customHeight="1">
      <c r="A91" s="58" t="str">
        <f>IFERROR(__xludf.DUMMYFUNCTION("""COMPUTED_VALUE"""),"D10")</f>
        <v>D10</v>
      </c>
      <c r="B91" s="51" t="str">
        <f>IFERROR(__xludf.DUMMYFUNCTION("""COMPUTED_VALUE"""),"R178")</f>
        <v>R178</v>
      </c>
      <c r="C91" s="52">
        <f>IFERROR(__xludf.DUMMYFUNCTION("""COMPUTED_VALUE"""),0.5661468)</f>
        <v>0.5661468</v>
      </c>
      <c r="D91" s="52">
        <f>IFERROR(__xludf.DUMMYFUNCTION("""COMPUTED_VALUE"""),0.595944)</f>
        <v>0.595944</v>
      </c>
      <c r="E91" s="52">
        <f>IFERROR(__xludf.DUMMYFUNCTION("""COMPUTED_VALUE"""),0.6257412000000001)</f>
        <v>0.6257412</v>
      </c>
      <c r="F91" s="53" t="str">
        <f>IFERROR(__xludf.DUMMYFUNCTION("""COMPUTED_VALUE"""),"Group 1")</f>
        <v>Group 1</v>
      </c>
      <c r="G91" s="53" t="str">
        <f>IFERROR(__xludf.DUMMYFUNCTION("""COMPUTED_VALUE"""),"G10")</f>
        <v>G10</v>
      </c>
      <c r="H91" s="54"/>
      <c r="I91" s="59" t="s">
        <v>269</v>
      </c>
      <c r="J91" s="60">
        <f>VLOOKUP(I91,$B$2:$E$100,2,FALSE)</f>
        <v>0.45291744</v>
      </c>
      <c r="K91" s="60">
        <f>VLOOKUP(I91,$B$2:$E$100,4,FALSE)</f>
        <v>0.50059296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49"/>
    </row>
    <row r="92" ht="20.25" customHeight="1">
      <c r="A92" s="58" t="str">
        <f>IFERROR(__xludf.DUMMYFUNCTION("""COMPUTED_VALUE"""),"D10")</f>
        <v>D10</v>
      </c>
      <c r="B92" s="51" t="str">
        <f>IFERROR(__xludf.DUMMYFUNCTION("""COMPUTED_VALUE"""),"R181")</f>
        <v>R181</v>
      </c>
      <c r="C92" s="52">
        <f>IFERROR(__xludf.DUMMYFUNCTION("""COMPUTED_VALUE"""),0.45291744)</f>
        <v>0.45291744</v>
      </c>
      <c r="D92" s="52">
        <f>IFERROR(__xludf.DUMMYFUNCTION("""COMPUTED_VALUE"""),0.47675520000000005)</f>
        <v>0.4767552</v>
      </c>
      <c r="E92" s="52">
        <f>IFERROR(__xludf.DUMMYFUNCTION("""COMPUTED_VALUE"""),0.5005929600000001)</f>
        <v>0.50059296</v>
      </c>
      <c r="F92" s="53" t="str">
        <f>IFERROR(__xludf.DUMMYFUNCTION("""COMPUTED_VALUE"""),"Group 2")</f>
        <v>Group 2</v>
      </c>
      <c r="G92" s="53" t="str">
        <f>IFERROR(__xludf.DUMMYFUNCTION("""COMPUTED_VALUE"""),"G11")</f>
        <v>G11</v>
      </c>
      <c r="H92" s="54"/>
      <c r="I92" s="55" t="s">
        <v>279</v>
      </c>
      <c r="J92" s="56">
        <f>1-K91</f>
        <v>0.49940704</v>
      </c>
      <c r="K92" s="56">
        <f>1-J91</f>
        <v>0.54708256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49"/>
    </row>
    <row r="93" ht="20.25" customHeight="1">
      <c r="A93" s="58"/>
      <c r="B93" s="51"/>
      <c r="C93" s="51"/>
      <c r="D93" s="51"/>
      <c r="E93" s="51"/>
      <c r="F93" s="53"/>
      <c r="G93" s="53" t="str">
        <f>IFERROR(__xludf.DUMMYFUNCTION("""COMPUTED_VALUE"""),"")</f>
        <v/>
      </c>
      <c r="H93" s="54"/>
      <c r="I93" s="59" t="s">
        <v>374</v>
      </c>
      <c r="J93" s="60">
        <f>1-K2</f>
        <v>0.338052905</v>
      </c>
      <c r="K93" s="60">
        <f>1-J2</f>
        <v>0.4010954854</v>
      </c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49"/>
    </row>
    <row r="94" ht="20.25" customHeight="1">
      <c r="A94" s="58"/>
      <c r="B94" s="51"/>
      <c r="C94" s="51"/>
      <c r="D94" s="51"/>
      <c r="E94" s="51"/>
      <c r="F94" s="53"/>
      <c r="G94" s="53" t="str">
        <f>IFERROR(__xludf.DUMMYFUNCTION("""COMPUTED_VALUE"""),"")</f>
        <v/>
      </c>
      <c r="H94" s="54"/>
      <c r="I94" s="55" t="s">
        <v>309</v>
      </c>
      <c r="J94" s="56">
        <f t="shared" ref="J94:J95" si="23">VLOOKUP(I94,$B$2:$E$100,2,FALSE)</f>
        <v>0.340286656</v>
      </c>
      <c r="K94" s="56">
        <f t="shared" ref="K94:K95" si="24">VLOOKUP(I94,$B$2:$E$100,4,FALSE)</f>
        <v>0.376106304</v>
      </c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49"/>
    </row>
    <row r="95" ht="20.25" customHeight="1">
      <c r="A95" s="58"/>
      <c r="B95" s="51"/>
      <c r="C95" s="51"/>
      <c r="D95" s="51"/>
      <c r="E95" s="51"/>
      <c r="F95" s="53"/>
      <c r="G95" s="53" t="str">
        <f>IFERROR(__xludf.DUMMYFUNCTION("""COMPUTED_VALUE"""),"")</f>
        <v/>
      </c>
      <c r="H95" s="54"/>
      <c r="I95" s="59" t="s">
        <v>281</v>
      </c>
      <c r="J95" s="60">
        <f t="shared" si="23"/>
        <v>0.7524</v>
      </c>
      <c r="K95" s="60">
        <f t="shared" si="24"/>
        <v>0.8316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49"/>
    </row>
    <row r="96" ht="20.25" customHeight="1">
      <c r="A96" s="58"/>
      <c r="B96" s="51"/>
      <c r="C96" s="51"/>
      <c r="D96" s="51"/>
      <c r="E96" s="51"/>
      <c r="F96" s="53"/>
      <c r="G96" s="53" t="str">
        <f>IFERROR(__xludf.DUMMYFUNCTION("""COMPUTED_VALUE"""),"")</f>
        <v/>
      </c>
      <c r="H96" s="54"/>
      <c r="I96" s="55" t="s">
        <v>326</v>
      </c>
      <c r="J96" s="56">
        <f>1-K95</f>
        <v>0.1684</v>
      </c>
      <c r="K96" s="56">
        <f>1-J95</f>
        <v>0.2476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49"/>
    </row>
    <row r="97" ht="20.25" customHeight="1">
      <c r="A97" s="58"/>
      <c r="B97" s="51"/>
      <c r="C97" s="51"/>
      <c r="D97" s="51"/>
      <c r="E97" s="51"/>
      <c r="F97" s="53"/>
      <c r="G97" s="53" t="str">
        <f>IFERROR(__xludf.DUMMYFUNCTION("""COMPUTED_VALUE"""),"")</f>
        <v/>
      </c>
      <c r="H97" s="54"/>
      <c r="I97" s="59" t="s">
        <v>290</v>
      </c>
      <c r="J97" s="60">
        <f t="shared" ref="J97:J98" si="25">VLOOKUP(I97,$B$2:$E$100,2,FALSE)</f>
        <v>0.2499718558</v>
      </c>
      <c r="K97" s="60">
        <f t="shared" ref="K97:K98" si="26">VLOOKUP(I97,$B$2:$E$100,4,FALSE)</f>
        <v>0.2762846828</v>
      </c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49"/>
    </row>
    <row r="98" ht="20.25" customHeight="1">
      <c r="A98" s="58"/>
      <c r="B98" s="51"/>
      <c r="C98" s="51"/>
      <c r="D98" s="51"/>
      <c r="E98" s="51"/>
      <c r="F98" s="53"/>
      <c r="G98" s="53" t="str">
        <f>IFERROR(__xludf.DUMMYFUNCTION("""COMPUTED_VALUE"""),"")</f>
        <v/>
      </c>
      <c r="H98" s="54"/>
      <c r="I98" s="55" t="s">
        <v>283</v>
      </c>
      <c r="J98" s="56">
        <f t="shared" si="25"/>
        <v>0.6111008</v>
      </c>
      <c r="K98" s="56">
        <f t="shared" si="26"/>
        <v>0.6754272</v>
      </c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49"/>
    </row>
    <row r="99" ht="20.25" customHeight="1">
      <c r="A99" s="58"/>
      <c r="B99" s="51"/>
      <c r="C99" s="51"/>
      <c r="D99" s="51"/>
      <c r="E99" s="51"/>
      <c r="F99" s="53"/>
      <c r="G99" s="53" t="str">
        <f>IFERROR(__xludf.DUMMYFUNCTION("""COMPUTED_VALUE"""),"")</f>
        <v/>
      </c>
      <c r="H99" s="54"/>
      <c r="I99" s="59" t="s">
        <v>300</v>
      </c>
      <c r="J99" s="60">
        <f>1-K98</f>
        <v>0.3245728</v>
      </c>
      <c r="K99" s="60">
        <f>1-J98</f>
        <v>0.3888992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49"/>
    </row>
    <row r="100" ht="20.25" customHeight="1">
      <c r="A100" s="58"/>
      <c r="B100" s="51"/>
      <c r="C100" s="51"/>
      <c r="D100" s="51"/>
      <c r="E100" s="51"/>
      <c r="F100" s="53"/>
      <c r="G100" s="53" t="str">
        <f>IFERROR(__xludf.DUMMYFUNCTION("""COMPUTED_VALUE"""),"")</f>
        <v/>
      </c>
      <c r="H100" s="54"/>
      <c r="I100" s="55" t="s">
        <v>291</v>
      </c>
      <c r="J100" s="56">
        <f>VLOOKUP(I100,$B$2:$E$100,2,FALSE)</f>
        <v>0.69982035</v>
      </c>
      <c r="K100" s="56">
        <f>VLOOKUP(I100,$B$2:$E$100,4,FALSE)</f>
        <v>0.77348565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49"/>
    </row>
    <row r="101" ht="20.25" customHeight="1">
      <c r="A101" s="58"/>
      <c r="B101" s="51"/>
      <c r="C101" s="51"/>
      <c r="D101" s="51"/>
      <c r="E101" s="51"/>
      <c r="F101" s="53"/>
      <c r="G101" s="53" t="str">
        <f>IFERROR(__xludf.DUMMYFUNCTION("""COMPUTED_VALUE"""),"")</f>
        <v/>
      </c>
      <c r="H101" s="54"/>
      <c r="I101" s="59" t="s">
        <v>312</v>
      </c>
      <c r="J101" s="60">
        <f>1-K100</f>
        <v>0.22651435</v>
      </c>
      <c r="K101" s="60">
        <f>1-J100</f>
        <v>0.30017965</v>
      </c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49"/>
    </row>
    <row r="102" ht="20.25" customHeight="1">
      <c r="A102" s="58"/>
      <c r="B102" s="51"/>
      <c r="C102" s="51"/>
      <c r="D102" s="51"/>
      <c r="E102" s="51"/>
      <c r="F102" s="53"/>
      <c r="G102" s="53" t="str">
        <f>IFERROR(__xludf.DUMMYFUNCTION("""COMPUTED_VALUE"""),"")</f>
        <v/>
      </c>
      <c r="H102" s="54"/>
      <c r="I102" s="55" t="s">
        <v>301</v>
      </c>
      <c r="J102" s="56">
        <f>VLOOKUP(I102,$B$2:$E$100,2,FALSE)</f>
        <v>0.73127295</v>
      </c>
      <c r="K102" s="56">
        <f>VLOOKUP(I102,$B$2:$E$100,4,FALSE)</f>
        <v>0.80824905</v>
      </c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49"/>
    </row>
    <row r="103" ht="20.25" customHeight="1">
      <c r="A103" s="58"/>
      <c r="B103" s="51"/>
      <c r="C103" s="51"/>
      <c r="D103" s="51"/>
      <c r="E103" s="51"/>
      <c r="F103" s="53"/>
      <c r="G103" s="53" t="str">
        <f>IFERROR(__xludf.DUMMYFUNCTION("""COMPUTED_VALUE"""),"")</f>
        <v/>
      </c>
      <c r="H103" s="54"/>
      <c r="I103" s="59" t="s">
        <v>322</v>
      </c>
      <c r="J103" s="60">
        <f>1-K102</f>
        <v>0.19175095</v>
      </c>
      <c r="K103" s="60">
        <f>1-J102</f>
        <v>0.26872705</v>
      </c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49"/>
    </row>
    <row r="104" ht="20.25" customHeight="1">
      <c r="A104" s="58"/>
      <c r="B104" s="51"/>
      <c r="C104" s="51"/>
      <c r="D104" s="51"/>
      <c r="E104" s="51"/>
      <c r="F104" s="53"/>
      <c r="G104" s="53" t="str">
        <f>IFERROR(__xludf.DUMMYFUNCTION("""COMPUTED_VALUE"""),"")</f>
        <v/>
      </c>
      <c r="H104" s="54"/>
      <c r="I104" s="55" t="s">
        <v>311</v>
      </c>
      <c r="J104" s="56">
        <f t="shared" ref="J104:J106" si="27">VLOOKUP(I104,$B$2:$E$100,2,FALSE)</f>
        <v>0.49248</v>
      </c>
      <c r="K104" s="56">
        <f t="shared" ref="K104:K106" si="28">VLOOKUP(I104,$B$2:$E$100,4,FALSE)</f>
        <v>0.54432</v>
      </c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49"/>
    </row>
    <row r="105" ht="20.25" customHeight="1">
      <c r="A105" s="58"/>
      <c r="B105" s="51"/>
      <c r="C105" s="51"/>
      <c r="D105" s="51"/>
      <c r="E105" s="51"/>
      <c r="F105" s="53"/>
      <c r="G105" s="53" t="str">
        <f>IFERROR(__xludf.DUMMYFUNCTION("""COMPUTED_VALUE"""),"")</f>
        <v/>
      </c>
      <c r="H105" s="54"/>
      <c r="I105" s="59" t="s">
        <v>299</v>
      </c>
      <c r="J105" s="60">
        <f t="shared" si="27"/>
        <v>0.6322353625</v>
      </c>
      <c r="K105" s="60">
        <f t="shared" si="28"/>
        <v>0.6987864533</v>
      </c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49"/>
    </row>
    <row r="106" ht="20.25" customHeight="1">
      <c r="A106" s="58"/>
      <c r="B106" s="51"/>
      <c r="C106" s="51"/>
      <c r="D106" s="51"/>
      <c r="E106" s="51"/>
      <c r="F106" s="53"/>
      <c r="G106" s="53" t="str">
        <f>IFERROR(__xludf.DUMMYFUNCTION("""COMPUTED_VALUE"""),"")</f>
        <v/>
      </c>
      <c r="H106" s="54"/>
      <c r="I106" s="55" t="s">
        <v>294</v>
      </c>
      <c r="J106" s="56">
        <f t="shared" si="27"/>
        <v>0.5661468</v>
      </c>
      <c r="K106" s="56">
        <f t="shared" si="28"/>
        <v>0.6257412</v>
      </c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49"/>
    </row>
    <row r="107" ht="20.25" customHeight="1">
      <c r="A107" s="58"/>
      <c r="B107" s="51"/>
      <c r="C107" s="51"/>
      <c r="D107" s="51"/>
      <c r="E107" s="51"/>
      <c r="F107" s="53"/>
      <c r="G107" s="53" t="str">
        <f>IFERROR(__xludf.DUMMYFUNCTION("""COMPUTED_VALUE"""),"")</f>
        <v/>
      </c>
      <c r="H107" s="54"/>
      <c r="I107" s="59" t="s">
        <v>307</v>
      </c>
      <c r="J107" s="60">
        <f>1-K106</f>
        <v>0.3742588</v>
      </c>
      <c r="K107" s="60">
        <f>1-J106</f>
        <v>0.4338532</v>
      </c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49"/>
    </row>
    <row r="108" ht="20.25" customHeight="1">
      <c r="A108" s="58"/>
      <c r="B108" s="51"/>
      <c r="C108" s="51"/>
      <c r="D108" s="51"/>
      <c r="E108" s="51"/>
      <c r="F108" s="53"/>
      <c r="G108" s="53" t="str">
        <f>IFERROR(__xludf.DUMMYFUNCTION("""COMPUTED_VALUE"""),"")</f>
        <v/>
      </c>
      <c r="H108" s="54"/>
      <c r="I108" s="55" t="s">
        <v>319</v>
      </c>
      <c r="J108" s="56">
        <f>1-K105</f>
        <v>0.3012135467</v>
      </c>
      <c r="K108" s="56">
        <f>1-J105</f>
        <v>0.3677646375</v>
      </c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49"/>
    </row>
    <row r="109" ht="20.25" customHeight="1">
      <c r="A109" s="58"/>
      <c r="B109" s="51"/>
      <c r="C109" s="51"/>
      <c r="D109" s="51"/>
      <c r="E109" s="51"/>
      <c r="F109" s="53"/>
      <c r="G109" s="53" t="str">
        <f>IFERROR(__xludf.DUMMYFUNCTION("""COMPUTED_VALUE"""),"")</f>
        <v/>
      </c>
      <c r="H109" s="54"/>
      <c r="I109" s="59" t="s">
        <v>315</v>
      </c>
      <c r="J109" s="60">
        <f>VLOOKUP(I109,$B$2:$E$100,2,FALSE)</f>
        <v>0.45291744</v>
      </c>
      <c r="K109" s="60">
        <f>VLOOKUP(I109,$B$2:$E$100,4,FALSE)</f>
        <v>0.50059296</v>
      </c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49"/>
    </row>
    <row r="110" ht="20.25" customHeight="1">
      <c r="A110" s="58"/>
      <c r="B110" s="51"/>
      <c r="C110" s="51"/>
      <c r="D110" s="51"/>
      <c r="E110" s="51"/>
      <c r="F110" s="53"/>
      <c r="G110" s="53" t="str">
        <f>IFERROR(__xludf.DUMMYFUNCTION("""COMPUTED_VALUE"""),"")</f>
        <v/>
      </c>
      <c r="H110" s="54"/>
      <c r="I110" s="55" t="s">
        <v>323</v>
      </c>
      <c r="J110" s="56">
        <f>1-K109</f>
        <v>0.49940704</v>
      </c>
      <c r="K110" s="56">
        <f>1-J109</f>
        <v>0.54708256</v>
      </c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49"/>
    </row>
    <row r="111" ht="20.25" customHeight="1">
      <c r="A111" s="58"/>
      <c r="B111" s="51"/>
      <c r="C111" s="51"/>
      <c r="D111" s="51"/>
      <c r="E111" s="51"/>
      <c r="F111" s="53"/>
      <c r="G111" s="53" t="str">
        <f>IFERROR(__xludf.DUMMYFUNCTION("""COMPUTED_VALUE"""),"")</f>
        <v/>
      </c>
      <c r="H111" s="54"/>
      <c r="I111" s="59" t="s">
        <v>338</v>
      </c>
      <c r="J111" s="60">
        <f>1-K104</f>
        <v>0.45568</v>
      </c>
      <c r="K111" s="60">
        <f>1-J104</f>
        <v>0.50752</v>
      </c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49"/>
    </row>
    <row r="112" ht="20.25" customHeight="1">
      <c r="A112" s="58"/>
      <c r="B112" s="51"/>
      <c r="C112" s="51"/>
      <c r="D112" s="51"/>
      <c r="E112" s="51"/>
      <c r="F112" s="53"/>
      <c r="G112" s="53" t="str">
        <f>IFERROR(__xludf.DUMMYFUNCTION("""COMPUTED_VALUE"""),"")</f>
        <v/>
      </c>
      <c r="H112" s="54"/>
      <c r="I112" s="55" t="s">
        <v>332</v>
      </c>
      <c r="J112" s="56">
        <f t="shared" ref="J112:J113" si="29">VLOOKUP(I112,$B$2:$E$100,2,FALSE)</f>
        <v>0.5374000581</v>
      </c>
      <c r="K112" s="56">
        <f t="shared" ref="K112:K113" si="30">VLOOKUP(I112,$B$2:$E$100,4,FALSE)</f>
        <v>0.5939684853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49"/>
    </row>
    <row r="113" ht="20.25" customHeight="1">
      <c r="A113" s="58"/>
      <c r="B113" s="51"/>
      <c r="C113" s="51"/>
      <c r="D113" s="51"/>
      <c r="E113" s="51"/>
      <c r="F113" s="53"/>
      <c r="G113" s="53" t="str">
        <f>IFERROR(__xludf.DUMMYFUNCTION("""COMPUTED_VALUE"""),"")</f>
        <v/>
      </c>
      <c r="H113" s="54"/>
      <c r="I113" s="59" t="s">
        <v>330</v>
      </c>
      <c r="J113" s="60">
        <f t="shared" si="29"/>
        <v>0.5661468</v>
      </c>
      <c r="K113" s="60">
        <f t="shared" si="30"/>
        <v>0.6257412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49"/>
    </row>
    <row r="114" ht="20.25" customHeight="1">
      <c r="A114" s="58"/>
      <c r="B114" s="51"/>
      <c r="C114" s="51"/>
      <c r="D114" s="51"/>
      <c r="E114" s="51"/>
      <c r="F114" s="53"/>
      <c r="G114" s="53" t="str">
        <f>IFERROR(__xludf.DUMMYFUNCTION("""COMPUTED_VALUE"""),"")</f>
        <v/>
      </c>
      <c r="H114" s="54"/>
      <c r="I114" s="55" t="s">
        <v>336</v>
      </c>
      <c r="J114" s="56">
        <f>1-K113</f>
        <v>0.3742588</v>
      </c>
      <c r="K114" s="56">
        <f>1-J113</f>
        <v>0.4338532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49"/>
    </row>
    <row r="115" ht="20.25" customHeight="1">
      <c r="A115" s="58"/>
      <c r="B115" s="51"/>
      <c r="C115" s="51"/>
      <c r="D115" s="51"/>
      <c r="E115" s="51"/>
      <c r="F115" s="53"/>
      <c r="G115" s="53" t="str">
        <f>IFERROR(__xludf.DUMMYFUNCTION("""COMPUTED_VALUE"""),"")</f>
        <v/>
      </c>
      <c r="H115" s="54"/>
      <c r="I115" s="59" t="s">
        <v>344</v>
      </c>
      <c r="J115" s="60">
        <f>1-K112</f>
        <v>0.4060315147</v>
      </c>
      <c r="K115" s="60">
        <f>1-J112</f>
        <v>0.4625999419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49"/>
    </row>
    <row r="116" ht="20.25" customHeight="1">
      <c r="A116" s="58"/>
      <c r="B116" s="51"/>
      <c r="C116" s="51"/>
      <c r="D116" s="51"/>
      <c r="E116" s="51"/>
      <c r="F116" s="53"/>
      <c r="G116" s="53" t="str">
        <f>IFERROR(__xludf.DUMMYFUNCTION("""COMPUTED_VALUE"""),"")</f>
        <v/>
      </c>
      <c r="H116" s="54"/>
      <c r="I116" s="55" t="s">
        <v>341</v>
      </c>
      <c r="J116" s="56">
        <f>VLOOKUP(I116,$B$2:$E$100,2,FALSE)</f>
        <v>0.45291744</v>
      </c>
      <c r="K116" s="56">
        <f>VLOOKUP(I116,$B$2:$E$100,4,FALSE)</f>
        <v>0.50059296</v>
      </c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49"/>
    </row>
    <row r="117" ht="20.25" customHeight="1">
      <c r="A117" s="58"/>
      <c r="B117" s="51"/>
      <c r="C117" s="51"/>
      <c r="D117" s="51"/>
      <c r="E117" s="51"/>
      <c r="F117" s="53"/>
      <c r="G117" s="53" t="str">
        <f>IFERROR(__xludf.DUMMYFUNCTION("""COMPUTED_VALUE"""),"")</f>
        <v/>
      </c>
      <c r="H117" s="54"/>
      <c r="I117" s="59" t="s">
        <v>349</v>
      </c>
      <c r="J117" s="60">
        <f>1-K116</f>
        <v>0.49940704</v>
      </c>
      <c r="K117" s="60">
        <f>1-J116</f>
        <v>0.54708256</v>
      </c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49"/>
    </row>
    <row r="118" ht="20.25" customHeight="1">
      <c r="A118" s="58"/>
      <c r="B118" s="51"/>
      <c r="C118" s="51"/>
      <c r="D118" s="51"/>
      <c r="E118" s="51"/>
      <c r="F118" s="53"/>
      <c r="G118" s="53" t="str">
        <f>IFERROR(__xludf.DUMMYFUNCTION("""COMPUTED_VALUE"""),"")</f>
        <v/>
      </c>
      <c r="H118" s="54"/>
      <c r="I118" s="55" t="s">
        <v>358</v>
      </c>
      <c r="J118" s="56">
        <f>1-K97</f>
        <v>0.7237153172</v>
      </c>
      <c r="K118" s="56">
        <f>1-J97</f>
        <v>0.7500281442</v>
      </c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49"/>
    </row>
    <row r="119" ht="20.25" customHeight="1">
      <c r="A119" s="58"/>
      <c r="B119" s="51"/>
      <c r="C119" s="51"/>
      <c r="D119" s="51"/>
      <c r="E119" s="51"/>
      <c r="F119" s="53"/>
      <c r="G119" s="53" t="str">
        <f>IFERROR(__xludf.DUMMYFUNCTION("""COMPUTED_VALUE"""),"")</f>
        <v/>
      </c>
      <c r="H119" s="54"/>
      <c r="I119" s="59" t="s">
        <v>351</v>
      </c>
      <c r="J119" s="60">
        <f>VLOOKUP(I119,$B$2:$E$100,2,FALSE)</f>
        <v>0.6111008</v>
      </c>
      <c r="K119" s="60">
        <f>VLOOKUP(I119,$B$2:$E$100,4,FALSE)</f>
        <v>0.6754272</v>
      </c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49"/>
    </row>
    <row r="120" ht="20.25" customHeight="1">
      <c r="A120" s="58"/>
      <c r="B120" s="51"/>
      <c r="C120" s="51"/>
      <c r="D120" s="51"/>
      <c r="E120" s="51"/>
      <c r="F120" s="53"/>
      <c r="G120" s="53" t="str">
        <f>IFERROR(__xludf.DUMMYFUNCTION("""COMPUTED_VALUE"""),"")</f>
        <v/>
      </c>
      <c r="H120" s="54"/>
      <c r="I120" s="55" t="s">
        <v>369</v>
      </c>
      <c r="J120" s="56">
        <f>1-K119</f>
        <v>0.3245728</v>
      </c>
      <c r="K120" s="56">
        <f>1-J119</f>
        <v>0.3888992</v>
      </c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49"/>
    </row>
    <row r="121" ht="20.25" customHeight="1">
      <c r="A121" s="58"/>
      <c r="B121" s="51"/>
      <c r="C121" s="51"/>
      <c r="D121" s="51"/>
      <c r="E121" s="51"/>
      <c r="F121" s="53"/>
      <c r="G121" s="53" t="str">
        <f>IFERROR(__xludf.DUMMYFUNCTION("""COMPUTED_VALUE"""),"")</f>
        <v/>
      </c>
      <c r="H121" s="54"/>
      <c r="I121" s="59" t="s">
        <v>359</v>
      </c>
      <c r="J121" s="60">
        <f>VLOOKUP(I121,$B$2:$E$100,2,FALSE)</f>
        <v>0.69982035</v>
      </c>
      <c r="K121" s="60">
        <f>VLOOKUP(I121,$B$2:$E$100,4,FALSE)</f>
        <v>0.77348565</v>
      </c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49"/>
    </row>
    <row r="122" ht="20.25" customHeight="1">
      <c r="A122" s="58"/>
      <c r="B122" s="51"/>
      <c r="C122" s="51"/>
      <c r="D122" s="51"/>
      <c r="E122" s="51"/>
      <c r="F122" s="53"/>
      <c r="G122" s="53" t="str">
        <f>IFERROR(__xludf.DUMMYFUNCTION("""COMPUTED_VALUE"""),"")</f>
        <v/>
      </c>
      <c r="H122" s="54"/>
      <c r="I122" s="55" t="s">
        <v>380</v>
      </c>
      <c r="J122" s="56">
        <f>1-K121</f>
        <v>0.22651435</v>
      </c>
      <c r="K122" s="56">
        <f>1-J121</f>
        <v>0.30017965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49"/>
    </row>
    <row r="123" ht="20.25" customHeight="1">
      <c r="A123" s="58"/>
      <c r="B123" s="51"/>
      <c r="C123" s="51"/>
      <c r="D123" s="51"/>
      <c r="E123" s="51"/>
      <c r="F123" s="53"/>
      <c r="G123" s="53" t="str">
        <f>IFERROR(__xludf.DUMMYFUNCTION("""COMPUTED_VALUE"""),"")</f>
        <v/>
      </c>
      <c r="H123" s="54"/>
      <c r="I123" s="59" t="s">
        <v>370</v>
      </c>
      <c r="J123" s="60">
        <f>VLOOKUP(I123,$B$2:$E$100,2,FALSE)</f>
        <v>0.73127295</v>
      </c>
      <c r="K123" s="60">
        <f>VLOOKUP(I123,$B$2:$E$100,4,FALSE)</f>
        <v>0.80824905</v>
      </c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49"/>
    </row>
    <row r="124" ht="20.25" customHeight="1">
      <c r="A124" s="58"/>
      <c r="B124" s="51"/>
      <c r="C124" s="51"/>
      <c r="D124" s="51"/>
      <c r="E124" s="51"/>
      <c r="F124" s="53"/>
      <c r="G124" s="53" t="str">
        <f>IFERROR(__xludf.DUMMYFUNCTION("""COMPUTED_VALUE"""),"")</f>
        <v/>
      </c>
      <c r="H124" s="54"/>
      <c r="I124" s="55" t="s">
        <v>390</v>
      </c>
      <c r="J124" s="56">
        <f>1-K123</f>
        <v>0.19175095</v>
      </c>
      <c r="K124" s="56">
        <f>1-J123</f>
        <v>0.26872705</v>
      </c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49"/>
    </row>
    <row r="125" ht="20.25" customHeight="1">
      <c r="A125" s="58"/>
      <c r="B125" s="51"/>
      <c r="C125" s="51"/>
      <c r="D125" s="51"/>
      <c r="E125" s="51"/>
      <c r="F125" s="53"/>
      <c r="G125" s="53" t="str">
        <f>IFERROR(__xludf.DUMMYFUNCTION("""COMPUTED_VALUE"""),"")</f>
        <v/>
      </c>
      <c r="H125" s="54"/>
      <c r="I125" s="59" t="s">
        <v>379</v>
      </c>
      <c r="J125" s="60">
        <f t="shared" ref="J125:J127" si="31">VLOOKUP(I125,$B$2:$E$100,2,FALSE)</f>
        <v>0.24624</v>
      </c>
      <c r="K125" s="60">
        <f t="shared" ref="K125:K127" si="32">VLOOKUP(I125,$B$2:$E$100,4,FALSE)</f>
        <v>0.27216</v>
      </c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49"/>
    </row>
    <row r="126" ht="20.25" customHeight="1">
      <c r="A126" s="58"/>
      <c r="B126" s="51"/>
      <c r="C126" s="51"/>
      <c r="D126" s="51"/>
      <c r="E126" s="51"/>
      <c r="F126" s="53"/>
      <c r="G126" s="53" t="str">
        <f>IFERROR(__xludf.DUMMYFUNCTION("""COMPUTED_VALUE"""),"")</f>
        <v/>
      </c>
      <c r="H126" s="54"/>
      <c r="I126" s="55" t="s">
        <v>367</v>
      </c>
      <c r="J126" s="56">
        <f t="shared" si="31"/>
        <v>0.6322353625</v>
      </c>
      <c r="K126" s="56">
        <f t="shared" si="32"/>
        <v>0.6987864533</v>
      </c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49"/>
    </row>
    <row r="127" ht="20.25" customHeight="1">
      <c r="A127" s="58"/>
      <c r="B127" s="51"/>
      <c r="C127" s="51"/>
      <c r="D127" s="51"/>
      <c r="E127" s="51"/>
      <c r="F127" s="53"/>
      <c r="G127" s="53" t="str">
        <f>IFERROR(__xludf.DUMMYFUNCTION("""COMPUTED_VALUE"""),"")</f>
        <v/>
      </c>
      <c r="H127" s="54"/>
      <c r="I127" s="59" t="s">
        <v>362</v>
      </c>
      <c r="J127" s="60">
        <f t="shared" si="31"/>
        <v>0.5661468</v>
      </c>
      <c r="K127" s="60">
        <f t="shared" si="32"/>
        <v>0.6257412</v>
      </c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49"/>
    </row>
    <row r="128" ht="20.25" customHeight="1">
      <c r="A128" s="58"/>
      <c r="B128" s="51"/>
      <c r="C128" s="51"/>
      <c r="D128" s="51"/>
      <c r="E128" s="51"/>
      <c r="F128" s="53"/>
      <c r="G128" s="53" t="str">
        <f>IFERROR(__xludf.DUMMYFUNCTION("""COMPUTED_VALUE"""),"")</f>
        <v/>
      </c>
      <c r="H128" s="54"/>
      <c r="I128" s="55" t="s">
        <v>376</v>
      </c>
      <c r="J128" s="56">
        <f>1-K127</f>
        <v>0.3742588</v>
      </c>
      <c r="K128" s="56">
        <f>1-J127</f>
        <v>0.4338532</v>
      </c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49"/>
    </row>
    <row r="129" ht="20.25" customHeight="1">
      <c r="A129" s="58"/>
      <c r="B129" s="51"/>
      <c r="C129" s="51"/>
      <c r="D129" s="51"/>
      <c r="E129" s="51"/>
      <c r="F129" s="53"/>
      <c r="G129" s="53" t="str">
        <f>IFERROR(__xludf.DUMMYFUNCTION("""COMPUTED_VALUE"""),"")</f>
        <v/>
      </c>
      <c r="H129" s="54"/>
      <c r="I129" s="59" t="s">
        <v>387</v>
      </c>
      <c r="J129" s="60">
        <f>1-K126</f>
        <v>0.3012135467</v>
      </c>
      <c r="K129" s="60">
        <f>1-J126</f>
        <v>0.3677646375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49"/>
    </row>
    <row r="130" ht="20.25" customHeight="1">
      <c r="A130" s="58"/>
      <c r="B130" s="51"/>
      <c r="C130" s="51"/>
      <c r="D130" s="51"/>
      <c r="E130" s="51"/>
      <c r="F130" s="53"/>
      <c r="G130" s="53" t="str">
        <f>IFERROR(__xludf.DUMMYFUNCTION("""COMPUTED_VALUE"""),"")</f>
        <v/>
      </c>
      <c r="H130" s="54"/>
      <c r="I130" s="55" t="s">
        <v>383</v>
      </c>
      <c r="J130" s="56">
        <f>VLOOKUP(I130,$B$2:$E$100,2,FALSE)</f>
        <v>0.45291744</v>
      </c>
      <c r="K130" s="56">
        <f>VLOOKUP(I130,$B$2:$E$100,4,FALSE)</f>
        <v>0.50059296</v>
      </c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49"/>
    </row>
    <row r="131" ht="20.25" customHeight="1">
      <c r="A131" s="58"/>
      <c r="B131" s="51"/>
      <c r="C131" s="51"/>
      <c r="D131" s="51"/>
      <c r="E131" s="51"/>
      <c r="F131" s="53"/>
      <c r="G131" s="53" t="str">
        <f>IFERROR(__xludf.DUMMYFUNCTION("""COMPUTED_VALUE"""),"")</f>
        <v/>
      </c>
      <c r="H131" s="54"/>
      <c r="I131" s="59" t="s">
        <v>391</v>
      </c>
      <c r="J131" s="60">
        <f>1-K130</f>
        <v>0.49940704</v>
      </c>
      <c r="K131" s="60">
        <f>1-J130</f>
        <v>0.54708256</v>
      </c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49"/>
    </row>
    <row r="132" ht="20.25" customHeight="1">
      <c r="A132" s="58"/>
      <c r="B132" s="51"/>
      <c r="C132" s="51"/>
      <c r="D132" s="51"/>
      <c r="E132" s="51"/>
      <c r="F132" s="53"/>
      <c r="G132" s="53" t="str">
        <f>IFERROR(__xludf.DUMMYFUNCTION("""COMPUTED_VALUE"""),"")</f>
        <v/>
      </c>
      <c r="H132" s="54"/>
      <c r="I132" s="55" t="s">
        <v>404</v>
      </c>
      <c r="J132" s="56">
        <f>1-K125</f>
        <v>0.72784</v>
      </c>
      <c r="K132" s="56">
        <f>1-J125</f>
        <v>0.75376</v>
      </c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49"/>
    </row>
    <row r="133" ht="20.25" customHeight="1">
      <c r="A133" s="58"/>
      <c r="B133" s="51"/>
      <c r="C133" s="51"/>
      <c r="D133" s="51"/>
      <c r="E133" s="51"/>
      <c r="F133" s="53"/>
      <c r="G133" s="53" t="str">
        <f>IFERROR(__xludf.DUMMYFUNCTION("""COMPUTED_VALUE"""),"")</f>
        <v/>
      </c>
      <c r="H133" s="54"/>
      <c r="I133" s="59" t="s">
        <v>398</v>
      </c>
      <c r="J133" s="60">
        <f t="shared" ref="J133:J134" si="33">VLOOKUP(I133,$B$2:$E$100,2,FALSE)</f>
        <v>0.5374000581</v>
      </c>
      <c r="K133" s="60">
        <f t="shared" ref="K133:K134" si="34">VLOOKUP(I133,$B$2:$E$100,4,FALSE)</f>
        <v>0.5939684853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49"/>
    </row>
    <row r="134" ht="20.25" customHeight="1">
      <c r="A134" s="58"/>
      <c r="B134" s="51"/>
      <c r="C134" s="51"/>
      <c r="D134" s="51"/>
      <c r="E134" s="51"/>
      <c r="F134" s="53"/>
      <c r="G134" s="53" t="str">
        <f>IFERROR(__xludf.DUMMYFUNCTION("""COMPUTED_VALUE"""),"")</f>
        <v/>
      </c>
      <c r="H134" s="54"/>
      <c r="I134" s="55" t="s">
        <v>396</v>
      </c>
      <c r="J134" s="56">
        <f t="shared" si="33"/>
        <v>0.5661468</v>
      </c>
      <c r="K134" s="56">
        <f t="shared" si="34"/>
        <v>0.6257412</v>
      </c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49"/>
    </row>
    <row r="135" ht="20.25" customHeight="1">
      <c r="A135" s="58"/>
      <c r="B135" s="51"/>
      <c r="C135" s="51"/>
      <c r="D135" s="51"/>
      <c r="E135" s="51"/>
      <c r="F135" s="53"/>
      <c r="G135" s="53" t="str">
        <f>IFERROR(__xludf.DUMMYFUNCTION("""COMPUTED_VALUE"""),"")</f>
        <v/>
      </c>
      <c r="H135" s="54"/>
      <c r="I135" s="59" t="s">
        <v>402</v>
      </c>
      <c r="J135" s="60">
        <f>1-K134</f>
        <v>0.3742588</v>
      </c>
      <c r="K135" s="60">
        <f>1-J134</f>
        <v>0.4338532</v>
      </c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49"/>
    </row>
    <row r="136" ht="20.25" customHeight="1">
      <c r="A136" s="58"/>
      <c r="B136" s="51"/>
      <c r="C136" s="51"/>
      <c r="D136" s="51"/>
      <c r="E136" s="51"/>
      <c r="F136" s="53"/>
      <c r="G136" s="53" t="str">
        <f>IFERROR(__xludf.DUMMYFUNCTION("""COMPUTED_VALUE"""),"")</f>
        <v/>
      </c>
      <c r="H136" s="54"/>
      <c r="I136" s="55" t="s">
        <v>410</v>
      </c>
      <c r="J136" s="56">
        <f>1-K133</f>
        <v>0.4060315147</v>
      </c>
      <c r="K136" s="56">
        <f>1-J133</f>
        <v>0.4625999419</v>
      </c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49"/>
    </row>
    <row r="137" ht="20.25" customHeight="1">
      <c r="A137" s="58"/>
      <c r="B137" s="51"/>
      <c r="C137" s="51"/>
      <c r="D137" s="51"/>
      <c r="E137" s="51"/>
      <c r="F137" s="53"/>
      <c r="G137" s="53" t="str">
        <f>IFERROR(__xludf.DUMMYFUNCTION("""COMPUTED_VALUE"""),"")</f>
        <v/>
      </c>
      <c r="H137" s="54"/>
      <c r="I137" s="59" t="s">
        <v>407</v>
      </c>
      <c r="J137" s="60">
        <f>VLOOKUP(I137,$B$2:$E$100,2,FALSE)</f>
        <v>0.45291744</v>
      </c>
      <c r="K137" s="60">
        <f>VLOOKUP(I137,$B$2:$E$100,4,FALSE)</f>
        <v>0.50059296</v>
      </c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49"/>
    </row>
    <row r="138" ht="20.25" customHeight="1">
      <c r="A138" s="58"/>
      <c r="B138" s="51"/>
      <c r="C138" s="51"/>
      <c r="D138" s="51"/>
      <c r="E138" s="51"/>
      <c r="F138" s="53"/>
      <c r="G138" s="53" t="str">
        <f>IFERROR(__xludf.DUMMYFUNCTION("""COMPUTED_VALUE"""),"")</f>
        <v/>
      </c>
      <c r="H138" s="54"/>
      <c r="I138" s="55" t="s">
        <v>417</v>
      </c>
      <c r="J138" s="56">
        <f>1-K137</f>
        <v>0.49940704</v>
      </c>
      <c r="K138" s="56">
        <f>1-J137</f>
        <v>0.54708256</v>
      </c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49"/>
    </row>
    <row r="139" ht="20.25" customHeight="1">
      <c r="A139" s="58"/>
      <c r="B139" s="51"/>
      <c r="C139" s="51"/>
      <c r="D139" s="51"/>
      <c r="E139" s="51"/>
      <c r="F139" s="53"/>
      <c r="G139" s="53" t="str">
        <f>IFERROR(__xludf.DUMMYFUNCTION("""COMPUTED_VALUE"""),"")</f>
        <v/>
      </c>
      <c r="H139" s="54"/>
      <c r="I139" s="59" t="s">
        <v>447</v>
      </c>
      <c r="J139" s="60">
        <f>1-K94</f>
        <v>0.623893696</v>
      </c>
      <c r="K139" s="60">
        <f>1-J94</f>
        <v>0.659713344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49"/>
    </row>
    <row r="140" ht="20.25" customHeight="1">
      <c r="A140" s="58"/>
      <c r="B140" s="51"/>
      <c r="C140" s="51"/>
      <c r="D140" s="51"/>
      <c r="E140" s="51"/>
      <c r="F140" s="53"/>
      <c r="G140" s="53" t="str">
        <f>IFERROR(__xludf.DUMMYFUNCTION("""COMPUTED_VALUE"""),"")</f>
        <v/>
      </c>
      <c r="H140" s="54"/>
      <c r="I140" s="55" t="s">
        <v>419</v>
      </c>
      <c r="J140" s="56">
        <f>VLOOKUP(I140,$B$2:$E$100,2,FALSE)</f>
        <v>0.22572</v>
      </c>
      <c r="K140" s="56">
        <f>VLOOKUP(I140,$B$2:$E$100,4,FALSE)</f>
        <v>0.24948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49"/>
    </row>
    <row r="141" ht="20.25" customHeight="1">
      <c r="A141" s="58"/>
      <c r="B141" s="51"/>
      <c r="C141" s="51"/>
      <c r="D141" s="51"/>
      <c r="E141" s="51"/>
      <c r="F141" s="53"/>
      <c r="G141" s="53" t="str">
        <f>IFERROR(__xludf.DUMMYFUNCTION("""COMPUTED_VALUE"""),"")</f>
        <v/>
      </c>
      <c r="H141" s="54"/>
      <c r="I141" s="59" t="s">
        <v>464</v>
      </c>
      <c r="J141" s="60">
        <f>1-K140</f>
        <v>0.75052</v>
      </c>
      <c r="K141" s="60">
        <f>1-J140</f>
        <v>0.77428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49"/>
    </row>
    <row r="142" ht="20.25" customHeight="1">
      <c r="A142" s="58"/>
      <c r="B142" s="51"/>
      <c r="C142" s="51"/>
      <c r="D142" s="51"/>
      <c r="E142" s="51"/>
      <c r="F142" s="53"/>
      <c r="G142" s="53" t="str">
        <f>IFERROR(__xludf.DUMMYFUNCTION("""COMPUTED_VALUE"""),"")</f>
        <v/>
      </c>
      <c r="H142" s="54"/>
      <c r="I142" s="55" t="s">
        <v>428</v>
      </c>
      <c r="J142" s="56">
        <f t="shared" ref="J142:J143" si="35">VLOOKUP(I142,$B$2:$E$100,2,FALSE)</f>
        <v>0.1966070776</v>
      </c>
      <c r="K142" s="56">
        <f t="shared" ref="K142:K143" si="36">VLOOKUP(I142,$B$2:$E$100,4,FALSE)</f>
        <v>0.2173025595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49"/>
    </row>
    <row r="143" ht="20.25" customHeight="1">
      <c r="A143" s="58"/>
      <c r="B143" s="51"/>
      <c r="C143" s="51"/>
      <c r="D143" s="51"/>
      <c r="E143" s="51"/>
      <c r="F143" s="53"/>
      <c r="G143" s="53" t="str">
        <f>IFERROR(__xludf.DUMMYFUNCTION("""COMPUTED_VALUE"""),"")</f>
        <v/>
      </c>
      <c r="H143" s="54"/>
      <c r="I143" s="59" t="s">
        <v>421</v>
      </c>
      <c r="J143" s="60">
        <f t="shared" si="35"/>
        <v>0.6111008</v>
      </c>
      <c r="K143" s="60">
        <f t="shared" si="36"/>
        <v>0.6754272</v>
      </c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49"/>
    </row>
    <row r="144" ht="20.25" customHeight="1">
      <c r="A144" s="58"/>
      <c r="B144" s="51"/>
      <c r="C144" s="51"/>
      <c r="D144" s="51"/>
      <c r="E144" s="51"/>
      <c r="F144" s="53"/>
      <c r="G144" s="53" t="str">
        <f>IFERROR(__xludf.DUMMYFUNCTION("""COMPUTED_VALUE"""),"")</f>
        <v/>
      </c>
      <c r="H144" s="54"/>
      <c r="I144" s="55" t="s">
        <v>438</v>
      </c>
      <c r="J144" s="56">
        <f>1-K143</f>
        <v>0.3245728</v>
      </c>
      <c r="K144" s="56">
        <f>1-J143</f>
        <v>0.3888992</v>
      </c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49"/>
    </row>
    <row r="145" ht="20.25" customHeight="1">
      <c r="A145" s="58"/>
      <c r="B145" s="51"/>
      <c r="C145" s="51"/>
      <c r="D145" s="51"/>
      <c r="E145" s="51"/>
      <c r="F145" s="53"/>
      <c r="G145" s="53" t="str">
        <f>IFERROR(__xludf.DUMMYFUNCTION("""COMPUTED_VALUE"""),"")</f>
        <v/>
      </c>
      <c r="H145" s="54"/>
      <c r="I145" s="59" t="s">
        <v>429</v>
      </c>
      <c r="J145" s="60">
        <f>VLOOKUP(I145,$B$2:$E$100,2,FALSE)</f>
        <v>0.69982035</v>
      </c>
      <c r="K145" s="60">
        <f>VLOOKUP(I145,$B$2:$E$100,4,FALSE)</f>
        <v>0.77348565</v>
      </c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49"/>
    </row>
    <row r="146" ht="20.25" customHeight="1">
      <c r="A146" s="58"/>
      <c r="B146" s="51"/>
      <c r="C146" s="51"/>
      <c r="D146" s="51"/>
      <c r="E146" s="51"/>
      <c r="F146" s="53"/>
      <c r="G146" s="53" t="str">
        <f>IFERROR(__xludf.DUMMYFUNCTION("""COMPUTED_VALUE"""),"")</f>
        <v/>
      </c>
      <c r="H146" s="54"/>
      <c r="I146" s="55" t="s">
        <v>450</v>
      </c>
      <c r="J146" s="56">
        <f>1-K145</f>
        <v>0.22651435</v>
      </c>
      <c r="K146" s="56">
        <f>1-J145</f>
        <v>0.30017965</v>
      </c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49"/>
    </row>
    <row r="147" ht="20.25" customHeight="1">
      <c r="A147" s="58"/>
      <c r="B147" s="51"/>
      <c r="C147" s="51"/>
      <c r="D147" s="51"/>
      <c r="E147" s="51"/>
      <c r="F147" s="53"/>
      <c r="G147" s="53" t="str">
        <f>IFERROR(__xludf.DUMMYFUNCTION("""COMPUTED_VALUE"""),"")</f>
        <v/>
      </c>
      <c r="H147" s="54"/>
      <c r="I147" s="59" t="s">
        <v>439</v>
      </c>
      <c r="J147" s="60">
        <f>VLOOKUP(I147,$B$2:$E$100,2,FALSE)</f>
        <v>0.73127295</v>
      </c>
      <c r="K147" s="60">
        <f>VLOOKUP(I147,$B$2:$E$100,4,FALSE)</f>
        <v>0.80824905</v>
      </c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49"/>
    </row>
    <row r="148" ht="20.25" customHeight="1">
      <c r="A148" s="58"/>
      <c r="B148" s="51"/>
      <c r="C148" s="51"/>
      <c r="D148" s="51"/>
      <c r="E148" s="51"/>
      <c r="F148" s="53"/>
      <c r="G148" s="53" t="str">
        <f>IFERROR(__xludf.DUMMYFUNCTION("""COMPUTED_VALUE"""),"")</f>
        <v/>
      </c>
      <c r="H148" s="54"/>
      <c r="I148" s="55" t="s">
        <v>463</v>
      </c>
      <c r="J148" s="56">
        <f>1-K147</f>
        <v>0.19175095</v>
      </c>
      <c r="K148" s="56">
        <f>1-J147</f>
        <v>0.26872705</v>
      </c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49"/>
    </row>
    <row r="149" ht="20.25" customHeight="1">
      <c r="A149" s="58"/>
      <c r="B149" s="51"/>
      <c r="C149" s="51"/>
      <c r="D149" s="51"/>
      <c r="E149" s="51"/>
      <c r="F149" s="53"/>
      <c r="G149" s="53" t="str">
        <f>IFERROR(__xludf.DUMMYFUNCTION("""COMPUTED_VALUE"""),"")</f>
        <v/>
      </c>
      <c r="H149" s="54"/>
      <c r="I149" s="59" t="s">
        <v>449</v>
      </c>
      <c r="J149" s="60">
        <f t="shared" ref="J149:J151" si="37">VLOOKUP(I149,$B$2:$E$100,2,FALSE)</f>
        <v>0.49248</v>
      </c>
      <c r="K149" s="60">
        <f t="shared" ref="K149:K151" si="38">VLOOKUP(I149,$B$2:$E$100,4,FALSE)</f>
        <v>0.54432</v>
      </c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49"/>
    </row>
    <row r="150" ht="20.25" customHeight="1">
      <c r="A150" s="58"/>
      <c r="B150" s="51"/>
      <c r="C150" s="51"/>
      <c r="D150" s="51"/>
      <c r="E150" s="51"/>
      <c r="F150" s="53"/>
      <c r="G150" s="53" t="str">
        <f>IFERROR(__xludf.DUMMYFUNCTION("""COMPUTED_VALUE"""),"")</f>
        <v/>
      </c>
      <c r="H150" s="54"/>
      <c r="I150" s="55" t="s">
        <v>437</v>
      </c>
      <c r="J150" s="56">
        <f t="shared" si="37"/>
        <v>0.6322353625</v>
      </c>
      <c r="K150" s="56">
        <f t="shared" si="38"/>
        <v>0.6987864533</v>
      </c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49"/>
    </row>
    <row r="151" ht="20.25" customHeight="1">
      <c r="A151" s="58"/>
      <c r="B151" s="51"/>
      <c r="C151" s="51"/>
      <c r="D151" s="51"/>
      <c r="E151" s="51"/>
      <c r="F151" s="53"/>
      <c r="G151" s="53" t="str">
        <f>IFERROR(__xludf.DUMMYFUNCTION("""COMPUTED_VALUE"""),"")</f>
        <v/>
      </c>
      <c r="H151" s="54"/>
      <c r="I151" s="59" t="s">
        <v>432</v>
      </c>
      <c r="J151" s="60">
        <f t="shared" si="37"/>
        <v>0.5661468</v>
      </c>
      <c r="K151" s="60">
        <f t="shared" si="38"/>
        <v>0.6257412</v>
      </c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49"/>
    </row>
    <row r="152" ht="20.25" customHeight="1">
      <c r="A152" s="58"/>
      <c r="B152" s="51"/>
      <c r="C152" s="51"/>
      <c r="D152" s="51"/>
      <c r="E152" s="51"/>
      <c r="F152" s="53"/>
      <c r="G152" s="53" t="str">
        <f>IFERROR(__xludf.DUMMYFUNCTION("""COMPUTED_VALUE"""),"")</f>
        <v/>
      </c>
      <c r="H152" s="54"/>
      <c r="I152" s="55" t="s">
        <v>445</v>
      </c>
      <c r="J152" s="56">
        <f>1-K151</f>
        <v>0.3742588</v>
      </c>
      <c r="K152" s="56">
        <f>1-J151</f>
        <v>0.4338532</v>
      </c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49"/>
    </row>
    <row r="153" ht="20.25" customHeight="1">
      <c r="A153" s="58"/>
      <c r="B153" s="51"/>
      <c r="C153" s="51"/>
      <c r="D153" s="51"/>
      <c r="E153" s="51"/>
      <c r="F153" s="53"/>
      <c r="G153" s="53" t="str">
        <f>IFERROR(__xludf.DUMMYFUNCTION("""COMPUTED_VALUE"""),"")</f>
        <v/>
      </c>
      <c r="H153" s="54"/>
      <c r="I153" s="59" t="s">
        <v>456</v>
      </c>
      <c r="J153" s="60">
        <f>1-K150</f>
        <v>0.3012135467</v>
      </c>
      <c r="K153" s="60">
        <f>1-J150</f>
        <v>0.3677646375</v>
      </c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49"/>
    </row>
    <row r="154" ht="20.25" customHeight="1">
      <c r="A154" s="58"/>
      <c r="B154" s="51"/>
      <c r="C154" s="51"/>
      <c r="D154" s="51"/>
      <c r="E154" s="51"/>
      <c r="F154" s="53"/>
      <c r="G154" s="53" t="str">
        <f>IFERROR(__xludf.DUMMYFUNCTION("""COMPUTED_VALUE"""),"")</f>
        <v/>
      </c>
      <c r="H154" s="54"/>
      <c r="I154" s="55" t="s">
        <v>453</v>
      </c>
      <c r="J154" s="56">
        <f>VLOOKUP(I154,$B$2:$E$100,2,FALSE)</f>
        <v>0.45291744</v>
      </c>
      <c r="K154" s="56">
        <f>VLOOKUP(I154,$B$2:$E$100,4,FALSE)</f>
        <v>0.50059296</v>
      </c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49"/>
    </row>
    <row r="155" ht="20.25" customHeight="1">
      <c r="A155" s="58"/>
      <c r="B155" s="51"/>
      <c r="C155" s="51"/>
      <c r="D155" s="51"/>
      <c r="E155" s="51"/>
      <c r="F155" s="53"/>
      <c r="G155" s="53" t="str">
        <f>IFERROR(__xludf.DUMMYFUNCTION("""COMPUTED_VALUE"""),"")</f>
        <v/>
      </c>
      <c r="H155" s="54"/>
      <c r="I155" s="59" t="s">
        <v>460</v>
      </c>
      <c r="J155" s="60">
        <f>1-K154</f>
        <v>0.49940704</v>
      </c>
      <c r="K155" s="60">
        <f>1-J154</f>
        <v>0.54708256</v>
      </c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49"/>
    </row>
    <row r="156" ht="20.25" customHeight="1">
      <c r="A156" s="58"/>
      <c r="B156" s="51"/>
      <c r="C156" s="51"/>
      <c r="D156" s="51"/>
      <c r="E156" s="51"/>
      <c r="F156" s="53"/>
      <c r="G156" s="53" t="str">
        <f>IFERROR(__xludf.DUMMYFUNCTION("""COMPUTED_VALUE"""),"")</f>
        <v/>
      </c>
      <c r="H156" s="54"/>
      <c r="I156" s="55" t="s">
        <v>476</v>
      </c>
      <c r="J156" s="56">
        <f>1-K149</f>
        <v>0.45568</v>
      </c>
      <c r="K156" s="56">
        <f>1-J149</f>
        <v>0.50752</v>
      </c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49"/>
    </row>
    <row r="157" ht="20.25" customHeight="1">
      <c r="A157" s="58"/>
      <c r="B157" s="51"/>
      <c r="C157" s="51"/>
      <c r="D157" s="51"/>
      <c r="E157" s="51"/>
      <c r="F157" s="53"/>
      <c r="G157" s="53" t="str">
        <f>IFERROR(__xludf.DUMMYFUNCTION("""COMPUTED_VALUE"""),"")</f>
        <v/>
      </c>
      <c r="H157" s="54"/>
      <c r="I157" s="59" t="s">
        <v>470</v>
      </c>
      <c r="J157" s="60">
        <f t="shared" ref="J157:J158" si="39">VLOOKUP(I157,$B$2:$E$100,2,FALSE)</f>
        <v>0.5374000581</v>
      </c>
      <c r="K157" s="60">
        <f t="shared" ref="K157:K158" si="40">VLOOKUP(I157,$B$2:$E$100,4,FALSE)</f>
        <v>0.5939684853</v>
      </c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49"/>
    </row>
    <row r="158" ht="20.25" customHeight="1">
      <c r="A158" s="58"/>
      <c r="B158" s="51"/>
      <c r="C158" s="51"/>
      <c r="D158" s="51"/>
      <c r="E158" s="51"/>
      <c r="F158" s="53"/>
      <c r="G158" s="53" t="str">
        <f>IFERROR(__xludf.DUMMYFUNCTION("""COMPUTED_VALUE"""),"")</f>
        <v/>
      </c>
      <c r="H158" s="54"/>
      <c r="I158" s="55" t="s">
        <v>468</v>
      </c>
      <c r="J158" s="56">
        <f t="shared" si="39"/>
        <v>0.5661468</v>
      </c>
      <c r="K158" s="56">
        <f t="shared" si="40"/>
        <v>0.6257412</v>
      </c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49"/>
    </row>
    <row r="159" ht="20.25" customHeight="1">
      <c r="A159" s="58"/>
      <c r="B159" s="51"/>
      <c r="C159" s="51"/>
      <c r="D159" s="51"/>
      <c r="E159" s="51"/>
      <c r="F159" s="53"/>
      <c r="G159" s="53" t="str">
        <f>IFERROR(__xludf.DUMMYFUNCTION("""COMPUTED_VALUE"""),"")</f>
        <v/>
      </c>
      <c r="H159" s="54"/>
      <c r="I159" s="59" t="s">
        <v>474</v>
      </c>
      <c r="J159" s="60">
        <f>1-K158</f>
        <v>0.3742588</v>
      </c>
      <c r="K159" s="60">
        <f>1-J158</f>
        <v>0.4338532</v>
      </c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49"/>
    </row>
    <row r="160" ht="20.25" customHeight="1">
      <c r="A160" s="58"/>
      <c r="B160" s="51"/>
      <c r="C160" s="51"/>
      <c r="D160" s="51"/>
      <c r="E160" s="51"/>
      <c r="F160" s="53"/>
      <c r="G160" s="53" t="str">
        <f>IFERROR(__xludf.DUMMYFUNCTION("""COMPUTED_VALUE"""),"")</f>
        <v/>
      </c>
      <c r="H160" s="54"/>
      <c r="I160" s="55" t="s">
        <v>482</v>
      </c>
      <c r="J160" s="56">
        <f>1-K157</f>
        <v>0.4060315147</v>
      </c>
      <c r="K160" s="56">
        <f>1-J157</f>
        <v>0.4625999419</v>
      </c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49"/>
    </row>
    <row r="161" ht="20.25" customHeight="1">
      <c r="A161" s="58"/>
      <c r="B161" s="51"/>
      <c r="C161" s="51"/>
      <c r="D161" s="51"/>
      <c r="E161" s="51"/>
      <c r="F161" s="53"/>
      <c r="G161" s="53" t="str">
        <f>IFERROR(__xludf.DUMMYFUNCTION("""COMPUTED_VALUE"""),"")</f>
        <v/>
      </c>
      <c r="H161" s="54"/>
      <c r="I161" s="59" t="s">
        <v>479</v>
      </c>
      <c r="J161" s="60">
        <f>VLOOKUP(I161,$B$2:$E$100,2,FALSE)</f>
        <v>0.45291744</v>
      </c>
      <c r="K161" s="60">
        <f>VLOOKUP(I161,$B$2:$E$100,4,FALSE)</f>
        <v>0.50059296</v>
      </c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49"/>
    </row>
    <row r="162" ht="20.25" customHeight="1">
      <c r="A162" s="58"/>
      <c r="B162" s="51"/>
      <c r="C162" s="51"/>
      <c r="D162" s="51"/>
      <c r="E162" s="51"/>
      <c r="F162" s="53"/>
      <c r="G162" s="53" t="str">
        <f>IFERROR(__xludf.DUMMYFUNCTION("""COMPUTED_VALUE"""),"")</f>
        <v/>
      </c>
      <c r="H162" s="54"/>
      <c r="I162" s="55" t="s">
        <v>487</v>
      </c>
      <c r="J162" s="56">
        <f>1-K161</f>
        <v>0.49940704</v>
      </c>
      <c r="K162" s="56">
        <f>1-J161</f>
        <v>0.54708256</v>
      </c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49"/>
    </row>
    <row r="163" ht="20.25" customHeight="1">
      <c r="A163" s="58"/>
      <c r="B163" s="51"/>
      <c r="C163" s="51"/>
      <c r="D163" s="51"/>
      <c r="E163" s="51"/>
      <c r="F163" s="53"/>
      <c r="G163" s="53" t="str">
        <f>IFERROR(__xludf.DUMMYFUNCTION("""COMPUTED_VALUE"""),"")</f>
        <v/>
      </c>
      <c r="H163" s="54"/>
      <c r="I163" s="59" t="s">
        <v>496</v>
      </c>
      <c r="J163" s="60">
        <f>1-K142</f>
        <v>0.7826974405</v>
      </c>
      <c r="K163" s="60">
        <f>1-J142</f>
        <v>0.8033929224</v>
      </c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49"/>
    </row>
    <row r="164" ht="20.25" customHeight="1">
      <c r="A164" s="58"/>
      <c r="B164" s="51"/>
      <c r="C164" s="51"/>
      <c r="D164" s="51"/>
      <c r="E164" s="51"/>
      <c r="F164" s="53"/>
      <c r="G164" s="53" t="str">
        <f>IFERROR(__xludf.DUMMYFUNCTION("""COMPUTED_VALUE"""),"")</f>
        <v/>
      </c>
      <c r="H164" s="54"/>
      <c r="I164" s="55" t="s">
        <v>489</v>
      </c>
      <c r="J164" s="56">
        <f>VLOOKUP(I164,$B$2:$E$100,2,FALSE)</f>
        <v>0.6111008</v>
      </c>
      <c r="K164" s="56">
        <f>VLOOKUP(I164,$B$2:$E$100,4,FALSE)</f>
        <v>0.6754272</v>
      </c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49"/>
    </row>
    <row r="165" ht="20.25" customHeight="1">
      <c r="A165" s="58"/>
      <c r="B165" s="51"/>
      <c r="C165" s="51"/>
      <c r="D165" s="51"/>
      <c r="E165" s="51"/>
      <c r="F165" s="53"/>
      <c r="G165" s="53" t="str">
        <f>IFERROR(__xludf.DUMMYFUNCTION("""COMPUTED_VALUE"""),"")</f>
        <v/>
      </c>
      <c r="H165" s="54"/>
      <c r="I165" s="59" t="s">
        <v>506</v>
      </c>
      <c r="J165" s="60">
        <f>1-K164</f>
        <v>0.3245728</v>
      </c>
      <c r="K165" s="60">
        <f>1-J164</f>
        <v>0.3888992</v>
      </c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49"/>
    </row>
    <row r="166" ht="20.25" customHeight="1">
      <c r="A166" s="58"/>
      <c r="B166" s="51"/>
      <c r="C166" s="51"/>
      <c r="D166" s="51"/>
      <c r="E166" s="51"/>
      <c r="F166" s="53"/>
      <c r="G166" s="53" t="str">
        <f>IFERROR(__xludf.DUMMYFUNCTION("""COMPUTED_VALUE"""),"")</f>
        <v/>
      </c>
      <c r="H166" s="54"/>
      <c r="I166" s="55" t="s">
        <v>497</v>
      </c>
      <c r="J166" s="56">
        <f>VLOOKUP(I166,$B$2:$E$100,2,FALSE)</f>
        <v>0.69982035</v>
      </c>
      <c r="K166" s="56">
        <f>VLOOKUP(I166,$B$2:$E$100,4,FALSE)</f>
        <v>0.77348565</v>
      </c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49"/>
    </row>
    <row r="167" ht="20.25" customHeight="1">
      <c r="A167" s="58"/>
      <c r="B167" s="51"/>
      <c r="C167" s="51"/>
      <c r="D167" s="51"/>
      <c r="E167" s="51"/>
      <c r="F167" s="53"/>
      <c r="G167" s="53" t="str">
        <f>IFERROR(__xludf.DUMMYFUNCTION("""COMPUTED_VALUE"""),"")</f>
        <v/>
      </c>
      <c r="H167" s="54"/>
      <c r="I167" s="59" t="s">
        <v>516</v>
      </c>
      <c r="J167" s="60">
        <f>1-K166</f>
        <v>0.22651435</v>
      </c>
      <c r="K167" s="60">
        <f>1-J166</f>
        <v>0.30017965</v>
      </c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49"/>
    </row>
    <row r="168" ht="20.25" customHeight="1">
      <c r="A168" s="58"/>
      <c r="B168" s="51"/>
      <c r="C168" s="51"/>
      <c r="D168" s="51"/>
      <c r="E168" s="51"/>
      <c r="F168" s="53"/>
      <c r="G168" s="53" t="str">
        <f>IFERROR(__xludf.DUMMYFUNCTION("""COMPUTED_VALUE"""),"")</f>
        <v/>
      </c>
      <c r="H168" s="54"/>
      <c r="I168" s="55" t="s">
        <v>507</v>
      </c>
      <c r="J168" s="56">
        <f>VLOOKUP(I168,$B$2:$E$100,2,FALSE)</f>
        <v>0.73127295</v>
      </c>
      <c r="K168" s="56">
        <f>VLOOKUP(I168,$B$2:$E$100,4,FALSE)</f>
        <v>0.80824905</v>
      </c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49"/>
    </row>
    <row r="169" ht="20.25" customHeight="1">
      <c r="A169" s="58"/>
      <c r="B169" s="51"/>
      <c r="C169" s="51"/>
      <c r="D169" s="51"/>
      <c r="E169" s="51"/>
      <c r="F169" s="53"/>
      <c r="G169" s="53" t="str">
        <f>IFERROR(__xludf.DUMMYFUNCTION("""COMPUTED_VALUE"""),"")</f>
        <v/>
      </c>
      <c r="H169" s="54"/>
      <c r="I169" s="59" t="s">
        <v>526</v>
      </c>
      <c r="J169" s="60">
        <f>1-K168</f>
        <v>0.19175095</v>
      </c>
      <c r="K169" s="60">
        <f>1-J168</f>
        <v>0.26872705</v>
      </c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49"/>
    </row>
    <row r="170" ht="20.25" customHeight="1">
      <c r="A170" s="58"/>
      <c r="B170" s="51"/>
      <c r="C170" s="51"/>
      <c r="D170" s="51"/>
      <c r="E170" s="51"/>
      <c r="F170" s="53"/>
      <c r="G170" s="53" t="str">
        <f>IFERROR(__xludf.DUMMYFUNCTION("""COMPUTED_VALUE"""),"")</f>
        <v/>
      </c>
      <c r="H170" s="54"/>
      <c r="I170" s="55" t="s">
        <v>515</v>
      </c>
      <c r="J170" s="56">
        <f t="shared" ref="J170:J172" si="41">VLOOKUP(I170,$B$2:$E$100,2,FALSE)</f>
        <v>0.24624</v>
      </c>
      <c r="K170" s="56">
        <f t="shared" ref="K170:K172" si="42">VLOOKUP(I170,$B$2:$E$100,4,FALSE)</f>
        <v>0.27216</v>
      </c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49"/>
    </row>
    <row r="171" ht="20.25" customHeight="1">
      <c r="A171" s="58"/>
      <c r="B171" s="51"/>
      <c r="C171" s="51"/>
      <c r="D171" s="51"/>
      <c r="E171" s="51"/>
      <c r="F171" s="53"/>
      <c r="G171" s="53" t="str">
        <f>IFERROR(__xludf.DUMMYFUNCTION("""COMPUTED_VALUE"""),"")</f>
        <v/>
      </c>
      <c r="H171" s="54"/>
      <c r="I171" s="59" t="s">
        <v>505</v>
      </c>
      <c r="J171" s="60">
        <f t="shared" si="41"/>
        <v>0.6322353625</v>
      </c>
      <c r="K171" s="60">
        <f t="shared" si="42"/>
        <v>0.6987864533</v>
      </c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49"/>
    </row>
    <row r="172" ht="20.25" customHeight="1">
      <c r="A172" s="58"/>
      <c r="B172" s="51"/>
      <c r="C172" s="51"/>
      <c r="D172" s="51"/>
      <c r="E172" s="51"/>
      <c r="F172" s="53"/>
      <c r="G172" s="53" t="str">
        <f>IFERROR(__xludf.DUMMYFUNCTION("""COMPUTED_VALUE"""),"")</f>
        <v/>
      </c>
      <c r="H172" s="54"/>
      <c r="I172" s="55" t="s">
        <v>500</v>
      </c>
      <c r="J172" s="56">
        <f t="shared" si="41"/>
        <v>0.5661468</v>
      </c>
      <c r="K172" s="56">
        <f t="shared" si="42"/>
        <v>0.6257412</v>
      </c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49"/>
    </row>
    <row r="173" ht="20.25" customHeight="1">
      <c r="A173" s="58"/>
      <c r="B173" s="51"/>
      <c r="C173" s="51"/>
      <c r="D173" s="51"/>
      <c r="E173" s="51"/>
      <c r="F173" s="53"/>
      <c r="G173" s="53" t="str">
        <f>IFERROR(__xludf.DUMMYFUNCTION("""COMPUTED_VALUE"""),"")</f>
        <v/>
      </c>
      <c r="H173" s="54"/>
      <c r="I173" s="59" t="s">
        <v>512</v>
      </c>
      <c r="J173" s="60">
        <f>1-K172</f>
        <v>0.3742588</v>
      </c>
      <c r="K173" s="60">
        <f>1-J172</f>
        <v>0.4338532</v>
      </c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49"/>
    </row>
    <row r="174" ht="20.25" customHeight="1">
      <c r="A174" s="58"/>
      <c r="B174" s="51"/>
      <c r="C174" s="51"/>
      <c r="D174" s="51"/>
      <c r="E174" s="51"/>
      <c r="F174" s="53"/>
      <c r="G174" s="53" t="str">
        <f>IFERROR(__xludf.DUMMYFUNCTION("""COMPUTED_VALUE"""),"")</f>
        <v/>
      </c>
      <c r="H174" s="54"/>
      <c r="I174" s="55" t="s">
        <v>523</v>
      </c>
      <c r="J174" s="56">
        <f>1-K171</f>
        <v>0.3012135467</v>
      </c>
      <c r="K174" s="56">
        <f>1-J171</f>
        <v>0.3677646375</v>
      </c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49"/>
    </row>
    <row r="175" ht="20.25" customHeight="1">
      <c r="A175" s="58"/>
      <c r="B175" s="51"/>
      <c r="C175" s="51"/>
      <c r="D175" s="51"/>
      <c r="E175" s="51"/>
      <c r="F175" s="53"/>
      <c r="G175" s="53" t="str">
        <f>IFERROR(__xludf.DUMMYFUNCTION("""COMPUTED_VALUE"""),"")</f>
        <v/>
      </c>
      <c r="H175" s="54"/>
      <c r="I175" s="59" t="s">
        <v>519</v>
      </c>
      <c r="J175" s="60">
        <f>VLOOKUP(I175,$B$2:$E$100,2,FALSE)</f>
        <v>0.45291744</v>
      </c>
      <c r="K175" s="60">
        <f>VLOOKUP(I175,$B$2:$E$100,4,FALSE)</f>
        <v>0.50059296</v>
      </c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49"/>
    </row>
    <row r="176" ht="20.25" customHeight="1">
      <c r="A176" s="58"/>
      <c r="B176" s="51"/>
      <c r="C176" s="51"/>
      <c r="D176" s="51"/>
      <c r="E176" s="51"/>
      <c r="F176" s="53"/>
      <c r="G176" s="53" t="str">
        <f>IFERROR(__xludf.DUMMYFUNCTION("""COMPUTED_VALUE"""),"")</f>
        <v/>
      </c>
      <c r="H176" s="54"/>
      <c r="I176" s="55" t="s">
        <v>527</v>
      </c>
      <c r="J176" s="56">
        <f>1-K175</f>
        <v>0.49940704</v>
      </c>
      <c r="K176" s="56">
        <f>1-J175</f>
        <v>0.54708256</v>
      </c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49"/>
    </row>
    <row r="177" ht="20.25" customHeight="1">
      <c r="A177" s="58"/>
      <c r="B177" s="51"/>
      <c r="C177" s="51"/>
      <c r="D177" s="51"/>
      <c r="E177" s="51"/>
      <c r="F177" s="53"/>
      <c r="G177" s="53" t="str">
        <f>IFERROR(__xludf.DUMMYFUNCTION("""COMPUTED_VALUE"""),"")</f>
        <v/>
      </c>
      <c r="H177" s="54"/>
      <c r="I177" s="59" t="s">
        <v>540</v>
      </c>
      <c r="J177" s="60">
        <f>1-K170</f>
        <v>0.72784</v>
      </c>
      <c r="K177" s="60">
        <f>1-J170</f>
        <v>0.75376</v>
      </c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49"/>
    </row>
    <row r="178" ht="20.25" customHeight="1">
      <c r="A178" s="58"/>
      <c r="B178" s="51"/>
      <c r="C178" s="51"/>
      <c r="D178" s="51"/>
      <c r="E178" s="51"/>
      <c r="F178" s="53"/>
      <c r="G178" s="53" t="str">
        <f>IFERROR(__xludf.DUMMYFUNCTION("""COMPUTED_VALUE"""),"")</f>
        <v/>
      </c>
      <c r="H178" s="54"/>
      <c r="I178" s="55" t="s">
        <v>534</v>
      </c>
      <c r="J178" s="56">
        <f t="shared" ref="J178:J179" si="43">VLOOKUP(I178,$B$2:$E$100,2,FALSE)</f>
        <v>0.5374000581</v>
      </c>
      <c r="K178" s="56">
        <f t="shared" ref="K178:K179" si="44">VLOOKUP(I178,$B$2:$E$100,4,FALSE)</f>
        <v>0.5939684853</v>
      </c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49"/>
    </row>
    <row r="179" ht="20.25" customHeight="1">
      <c r="A179" s="58"/>
      <c r="B179" s="51"/>
      <c r="C179" s="51"/>
      <c r="D179" s="51"/>
      <c r="E179" s="51"/>
      <c r="F179" s="53"/>
      <c r="G179" s="53" t="str">
        <f>IFERROR(__xludf.DUMMYFUNCTION("""COMPUTED_VALUE"""),"")</f>
        <v/>
      </c>
      <c r="H179" s="54"/>
      <c r="I179" s="59" t="s">
        <v>532</v>
      </c>
      <c r="J179" s="60">
        <f t="shared" si="43"/>
        <v>0.5661468</v>
      </c>
      <c r="K179" s="60">
        <f t="shared" si="44"/>
        <v>0.6257412</v>
      </c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49"/>
    </row>
    <row r="180" ht="20.25" customHeight="1">
      <c r="A180" s="58"/>
      <c r="B180" s="51"/>
      <c r="C180" s="51"/>
      <c r="D180" s="51"/>
      <c r="E180" s="51"/>
      <c r="F180" s="53"/>
      <c r="G180" s="53" t="str">
        <f>IFERROR(__xludf.DUMMYFUNCTION("""COMPUTED_VALUE"""),"")</f>
        <v/>
      </c>
      <c r="H180" s="54"/>
      <c r="I180" s="55" t="s">
        <v>538</v>
      </c>
      <c r="J180" s="56">
        <f>1-K179</f>
        <v>0.3742588</v>
      </c>
      <c r="K180" s="56">
        <f>1-J179</f>
        <v>0.4338532</v>
      </c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49"/>
    </row>
    <row r="181" ht="20.25" customHeight="1">
      <c r="A181" s="58"/>
      <c r="B181" s="51"/>
      <c r="C181" s="51"/>
      <c r="D181" s="51"/>
      <c r="E181" s="51"/>
      <c r="F181" s="53"/>
      <c r="G181" s="53" t="str">
        <f>IFERROR(__xludf.DUMMYFUNCTION("""COMPUTED_VALUE"""),"")</f>
        <v/>
      </c>
      <c r="H181" s="54"/>
      <c r="I181" s="59" t="s">
        <v>546</v>
      </c>
      <c r="J181" s="60">
        <f>1-K178</f>
        <v>0.4060315147</v>
      </c>
      <c r="K181" s="60">
        <f>1-J178</f>
        <v>0.4625999419</v>
      </c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49"/>
    </row>
    <row r="182" ht="20.25" customHeight="1">
      <c r="A182" s="58"/>
      <c r="B182" s="51"/>
      <c r="C182" s="51"/>
      <c r="D182" s="51"/>
      <c r="E182" s="51"/>
      <c r="F182" s="53"/>
      <c r="G182" s="53" t="str">
        <f>IFERROR(__xludf.DUMMYFUNCTION("""COMPUTED_VALUE"""),"")</f>
        <v/>
      </c>
      <c r="H182" s="54"/>
      <c r="I182" s="55" t="s">
        <v>543</v>
      </c>
      <c r="J182" s="56">
        <f>VLOOKUP(I182,$B$2:$E$100,2,FALSE)</f>
        <v>0.45291744</v>
      </c>
      <c r="K182" s="56">
        <f>VLOOKUP(I182,$B$2:$E$100,4,FALSE)</f>
        <v>0.50059296</v>
      </c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49"/>
    </row>
    <row r="183" ht="20.25" customHeight="1">
      <c r="A183" s="58"/>
      <c r="B183" s="51"/>
      <c r="C183" s="51"/>
      <c r="D183" s="51"/>
      <c r="E183" s="51"/>
      <c r="F183" s="53"/>
      <c r="G183" s="53" t="str">
        <f>IFERROR(__xludf.DUMMYFUNCTION("""COMPUTED_VALUE"""),"")</f>
        <v/>
      </c>
      <c r="H183" s="54"/>
      <c r="I183" s="59" t="s">
        <v>549</v>
      </c>
      <c r="J183" s="60">
        <f>1-K182</f>
        <v>0.49940704</v>
      </c>
      <c r="K183" s="60">
        <f>1-J182</f>
        <v>0.54708256</v>
      </c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49"/>
    </row>
    <row r="184" ht="15.75" customHeight="1">
      <c r="A184" s="61"/>
      <c r="B184" s="61"/>
      <c r="C184" s="61"/>
      <c r="D184" s="61"/>
      <c r="E184" s="61"/>
      <c r="F184" s="61"/>
      <c r="G184" s="61" t="str">
        <f>IFERROR(__xludf.DUMMYFUNCTION("""COMPUTED_VALUE"""),"")</f>
        <v/>
      </c>
      <c r="H184" s="62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5.75" customHeight="1">
      <c r="A185" s="61"/>
      <c r="B185" s="61"/>
      <c r="C185" s="61"/>
      <c r="D185" s="61"/>
      <c r="E185" s="61"/>
      <c r="F185" s="61"/>
      <c r="G185" s="61" t="str">
        <f>IFERROR(__xludf.DUMMYFUNCTION("""COMPUTED_VALUE"""),"")</f>
        <v/>
      </c>
      <c r="H185" s="62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5.75" customHeight="1">
      <c r="A186" s="61"/>
      <c r="B186" s="61"/>
      <c r="C186" s="61"/>
      <c r="D186" s="61"/>
      <c r="E186" s="61"/>
      <c r="F186" s="61"/>
      <c r="G186" s="61" t="str">
        <f>IFERROR(__xludf.DUMMYFUNCTION("""COMPUTED_VALUE"""),"")</f>
        <v/>
      </c>
      <c r="H186" s="62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5.75" customHeight="1">
      <c r="A187" s="61"/>
      <c r="B187" s="61"/>
      <c r="C187" s="61"/>
      <c r="D187" s="61"/>
      <c r="E187" s="61"/>
      <c r="F187" s="61"/>
      <c r="G187" s="61" t="str">
        <f>IFERROR(__xludf.DUMMYFUNCTION("""COMPUTED_VALUE"""),"")</f>
        <v/>
      </c>
      <c r="H187" s="62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5.75" customHeight="1">
      <c r="A188" s="61"/>
      <c r="B188" s="61"/>
      <c r="C188" s="61"/>
      <c r="D188" s="61"/>
      <c r="E188" s="61"/>
      <c r="F188" s="61"/>
      <c r="G188" s="61" t="str">
        <f>IFERROR(__xludf.DUMMYFUNCTION("""COMPUTED_VALUE"""),"")</f>
        <v/>
      </c>
      <c r="H188" s="62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5.75" customHeight="1">
      <c r="A189" s="61"/>
      <c r="B189" s="61"/>
      <c r="C189" s="61"/>
      <c r="D189" s="61"/>
      <c r="E189" s="61"/>
      <c r="F189" s="61"/>
      <c r="G189" s="61" t="str">
        <f>IFERROR(__xludf.DUMMYFUNCTION("""COMPUTED_VALUE"""),"")</f>
        <v/>
      </c>
      <c r="H189" s="62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5.75" customHeight="1">
      <c r="A190" s="61"/>
      <c r="B190" s="61"/>
      <c r="C190" s="61"/>
      <c r="D190" s="61"/>
      <c r="E190" s="61"/>
      <c r="F190" s="61"/>
      <c r="G190" s="61" t="str">
        <f>IFERROR(__xludf.DUMMYFUNCTION("""COMPUTED_VALUE"""),"")</f>
        <v/>
      </c>
      <c r="H190" s="62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5.75" customHeight="1">
      <c r="A191" s="61"/>
      <c r="B191" s="61"/>
      <c r="C191" s="61"/>
      <c r="D191" s="61"/>
      <c r="E191" s="61"/>
      <c r="F191" s="61"/>
      <c r="G191" s="61" t="str">
        <f>IFERROR(__xludf.DUMMYFUNCTION("""COMPUTED_VALUE"""),"")</f>
        <v/>
      </c>
      <c r="H191" s="62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5.75" customHeight="1">
      <c r="A192" s="61"/>
      <c r="B192" s="61"/>
      <c r="C192" s="61"/>
      <c r="D192" s="61"/>
      <c r="E192" s="61"/>
      <c r="F192" s="61"/>
      <c r="G192" s="61" t="str">
        <f>IFERROR(__xludf.DUMMYFUNCTION("""COMPUTED_VALUE"""),"")</f>
        <v/>
      </c>
      <c r="H192" s="62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5.75" customHeight="1">
      <c r="A193" s="61"/>
      <c r="B193" s="61"/>
      <c r="C193" s="61"/>
      <c r="D193" s="61"/>
      <c r="E193" s="61"/>
      <c r="F193" s="61"/>
      <c r="G193" s="61" t="str">
        <f>IFERROR(__xludf.DUMMYFUNCTION("""COMPUTED_VALUE"""),"")</f>
        <v/>
      </c>
      <c r="H193" s="62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5.75" customHeight="1">
      <c r="A194" s="61"/>
      <c r="B194" s="61"/>
      <c r="C194" s="61"/>
      <c r="D194" s="61"/>
      <c r="E194" s="61"/>
      <c r="F194" s="61"/>
      <c r="G194" s="61" t="str">
        <f>IFERROR(__xludf.DUMMYFUNCTION("""COMPUTED_VALUE"""),"")</f>
        <v/>
      </c>
      <c r="H194" s="62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5.75" customHeight="1">
      <c r="A195" s="61"/>
      <c r="B195" s="61"/>
      <c r="C195" s="61"/>
      <c r="D195" s="61"/>
      <c r="E195" s="61"/>
      <c r="F195" s="61"/>
      <c r="G195" s="61" t="str">
        <f>IFERROR(__xludf.DUMMYFUNCTION("""COMPUTED_VALUE"""),"")</f>
        <v/>
      </c>
      <c r="H195" s="62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5.75" customHeight="1">
      <c r="A196" s="61"/>
      <c r="B196" s="61"/>
      <c r="C196" s="61"/>
      <c r="D196" s="61"/>
      <c r="E196" s="61"/>
      <c r="F196" s="61"/>
      <c r="G196" s="61" t="str">
        <f>IFERROR(__xludf.DUMMYFUNCTION("""COMPUTED_VALUE"""),"")</f>
        <v/>
      </c>
      <c r="H196" s="62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5.75" customHeight="1">
      <c r="A197" s="61"/>
      <c r="B197" s="61"/>
      <c r="C197" s="61"/>
      <c r="D197" s="61"/>
      <c r="E197" s="61"/>
      <c r="F197" s="61"/>
      <c r="G197" s="61" t="str">
        <f>IFERROR(__xludf.DUMMYFUNCTION("""COMPUTED_VALUE"""),"")</f>
        <v/>
      </c>
      <c r="H197" s="62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5.75" customHeight="1">
      <c r="A198" s="61"/>
      <c r="B198" s="61"/>
      <c r="C198" s="61"/>
      <c r="D198" s="61"/>
      <c r="E198" s="61"/>
      <c r="F198" s="61"/>
      <c r="G198" s="61" t="str">
        <f>IFERROR(__xludf.DUMMYFUNCTION("""COMPUTED_VALUE"""),"")</f>
        <v/>
      </c>
      <c r="H198" s="62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5.75" customHeight="1">
      <c r="A199" s="61"/>
      <c r="B199" s="61"/>
      <c r="C199" s="61"/>
      <c r="D199" s="61"/>
      <c r="E199" s="61"/>
      <c r="F199" s="61"/>
      <c r="G199" s="61" t="str">
        <f>IFERROR(__xludf.DUMMYFUNCTION("""COMPUTED_VALUE"""),"")</f>
        <v/>
      </c>
      <c r="H199" s="62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5.75" customHeight="1">
      <c r="A200" s="61"/>
      <c r="B200" s="61"/>
      <c r="C200" s="61"/>
      <c r="D200" s="61"/>
      <c r="E200" s="61"/>
      <c r="F200" s="61"/>
      <c r="G200" s="61" t="str">
        <f>IFERROR(__xludf.DUMMYFUNCTION("""COMPUTED_VALUE"""),"")</f>
        <v/>
      </c>
      <c r="H200" s="62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5.75" customHeight="1">
      <c r="A201" s="61"/>
      <c r="B201" s="61"/>
      <c r="C201" s="61"/>
      <c r="D201" s="61"/>
      <c r="E201" s="61"/>
      <c r="F201" s="61"/>
      <c r="G201" s="61" t="str">
        <f>IFERROR(__xludf.DUMMYFUNCTION("""COMPUTED_VALUE"""),"")</f>
        <v/>
      </c>
      <c r="H201" s="62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5.75" customHeight="1">
      <c r="A202" s="61"/>
      <c r="B202" s="61"/>
      <c r="C202" s="61"/>
      <c r="D202" s="61"/>
      <c r="E202" s="61"/>
      <c r="F202" s="61"/>
      <c r="G202" s="61" t="str">
        <f>IFERROR(__xludf.DUMMYFUNCTION("""COMPUTED_VALUE"""),"")</f>
        <v/>
      </c>
      <c r="H202" s="62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5.75" customHeight="1">
      <c r="A203" s="61"/>
      <c r="B203" s="61"/>
      <c r="C203" s="61"/>
      <c r="D203" s="61"/>
      <c r="E203" s="61"/>
      <c r="F203" s="61"/>
      <c r="G203" s="61" t="str">
        <f>IFERROR(__xludf.DUMMYFUNCTION("""COMPUTED_VALUE"""),"")</f>
        <v/>
      </c>
      <c r="H203" s="62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5.75" customHeight="1">
      <c r="A204" s="61"/>
      <c r="B204" s="61"/>
      <c r="C204" s="61"/>
      <c r="D204" s="61"/>
      <c r="E204" s="61"/>
      <c r="F204" s="61"/>
      <c r="G204" s="61" t="str">
        <f>IFERROR(__xludf.DUMMYFUNCTION("""COMPUTED_VALUE"""),"")</f>
        <v/>
      </c>
      <c r="H204" s="62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5.75" customHeight="1">
      <c r="A205" s="61"/>
      <c r="B205" s="61"/>
      <c r="C205" s="61"/>
      <c r="D205" s="61"/>
      <c r="E205" s="61"/>
      <c r="F205" s="61"/>
      <c r="G205" s="61" t="str">
        <f>IFERROR(__xludf.DUMMYFUNCTION("""COMPUTED_VALUE"""),"")</f>
        <v/>
      </c>
      <c r="H205" s="62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5.75" customHeight="1">
      <c r="A206" s="61"/>
      <c r="B206" s="61"/>
      <c r="C206" s="61"/>
      <c r="D206" s="61"/>
      <c r="E206" s="61"/>
      <c r="F206" s="61"/>
      <c r="G206" s="61" t="str">
        <f>IFERROR(__xludf.DUMMYFUNCTION("""COMPUTED_VALUE"""),"")</f>
        <v/>
      </c>
      <c r="H206" s="62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5.75" customHeight="1">
      <c r="A207" s="61"/>
      <c r="B207" s="61"/>
      <c r="C207" s="61"/>
      <c r="D207" s="61"/>
      <c r="E207" s="61"/>
      <c r="F207" s="61"/>
      <c r="G207" s="61" t="str">
        <f>IFERROR(__xludf.DUMMYFUNCTION("""COMPUTED_VALUE"""),"")</f>
        <v/>
      </c>
      <c r="H207" s="62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5.75" customHeight="1">
      <c r="A208" s="61"/>
      <c r="B208" s="61"/>
      <c r="C208" s="61"/>
      <c r="D208" s="61"/>
      <c r="E208" s="61"/>
      <c r="F208" s="61"/>
      <c r="G208" s="61" t="str">
        <f>IFERROR(__xludf.DUMMYFUNCTION("""COMPUTED_VALUE"""),"")</f>
        <v/>
      </c>
      <c r="H208" s="62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5.75" customHeight="1">
      <c r="A209" s="61"/>
      <c r="B209" s="61"/>
      <c r="C209" s="61"/>
      <c r="D209" s="61"/>
      <c r="E209" s="61"/>
      <c r="F209" s="61"/>
      <c r="G209" s="61" t="str">
        <f>IFERROR(__xludf.DUMMYFUNCTION("""COMPUTED_VALUE"""),"")</f>
        <v/>
      </c>
      <c r="H209" s="62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5.75" customHeight="1">
      <c r="A210" s="61"/>
      <c r="B210" s="61"/>
      <c r="C210" s="61"/>
      <c r="D210" s="61"/>
      <c r="E210" s="61"/>
      <c r="F210" s="61"/>
      <c r="G210" s="61" t="str">
        <f>IFERROR(__xludf.DUMMYFUNCTION("""COMPUTED_VALUE"""),"")</f>
        <v/>
      </c>
      <c r="H210" s="62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5.75" customHeight="1">
      <c r="A211" s="61"/>
      <c r="B211" s="61"/>
      <c r="C211" s="61"/>
      <c r="D211" s="61"/>
      <c r="E211" s="61"/>
      <c r="F211" s="61"/>
      <c r="G211" s="61" t="str">
        <f>IFERROR(__xludf.DUMMYFUNCTION("""COMPUTED_VALUE"""),"")</f>
        <v/>
      </c>
      <c r="H211" s="62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5.75" customHeight="1">
      <c r="A212" s="61"/>
      <c r="B212" s="61"/>
      <c r="C212" s="61"/>
      <c r="D212" s="61"/>
      <c r="E212" s="61"/>
      <c r="F212" s="61"/>
      <c r="G212" s="61" t="str">
        <f>IFERROR(__xludf.DUMMYFUNCTION("""COMPUTED_VALUE"""),"")</f>
        <v/>
      </c>
      <c r="H212" s="62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5.75" customHeight="1">
      <c r="A213" s="61"/>
      <c r="B213" s="61"/>
      <c r="C213" s="61"/>
      <c r="D213" s="61"/>
      <c r="E213" s="61"/>
      <c r="F213" s="61"/>
      <c r="G213" s="61" t="str">
        <f>IFERROR(__xludf.DUMMYFUNCTION("""COMPUTED_VALUE"""),"")</f>
        <v/>
      </c>
      <c r="H213" s="62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5.75" customHeight="1">
      <c r="A214" s="61"/>
      <c r="B214" s="61"/>
      <c r="C214" s="61"/>
      <c r="D214" s="61"/>
      <c r="E214" s="61"/>
      <c r="F214" s="61"/>
      <c r="G214" s="61" t="str">
        <f>IFERROR(__xludf.DUMMYFUNCTION("""COMPUTED_VALUE"""),"")</f>
        <v/>
      </c>
      <c r="H214" s="62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5.75" customHeight="1">
      <c r="A215" s="61"/>
      <c r="B215" s="61"/>
      <c r="C215" s="61"/>
      <c r="D215" s="61"/>
      <c r="E215" s="61"/>
      <c r="F215" s="61"/>
      <c r="G215" s="61" t="str">
        <f>IFERROR(__xludf.DUMMYFUNCTION("""COMPUTED_VALUE"""),"")</f>
        <v/>
      </c>
      <c r="H215" s="62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5.75" customHeight="1">
      <c r="A216" s="61"/>
      <c r="B216" s="61"/>
      <c r="C216" s="61"/>
      <c r="D216" s="61"/>
      <c r="E216" s="61"/>
      <c r="F216" s="61"/>
      <c r="G216" s="61" t="str">
        <f>IFERROR(__xludf.DUMMYFUNCTION("""COMPUTED_VALUE"""),"")</f>
        <v/>
      </c>
      <c r="H216" s="62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5.75" customHeight="1">
      <c r="A217" s="61"/>
      <c r="B217" s="61"/>
      <c r="C217" s="61"/>
      <c r="D217" s="61"/>
      <c r="E217" s="61"/>
      <c r="F217" s="61"/>
      <c r="G217" s="61" t="str">
        <f>IFERROR(__xludf.DUMMYFUNCTION("""COMPUTED_VALUE"""),"")</f>
        <v/>
      </c>
      <c r="H217" s="62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5.75" customHeight="1">
      <c r="A218" s="61"/>
      <c r="B218" s="61"/>
      <c r="C218" s="61"/>
      <c r="D218" s="61"/>
      <c r="E218" s="61"/>
      <c r="F218" s="61"/>
      <c r="G218" s="61" t="str">
        <f>IFERROR(__xludf.DUMMYFUNCTION("""COMPUTED_VALUE"""),"")</f>
        <v/>
      </c>
      <c r="H218" s="62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5.75" customHeight="1">
      <c r="A219" s="61"/>
      <c r="B219" s="61"/>
      <c r="C219" s="61"/>
      <c r="D219" s="61"/>
      <c r="E219" s="61"/>
      <c r="F219" s="61"/>
      <c r="G219" s="61" t="str">
        <f>IFERROR(__xludf.DUMMYFUNCTION("""COMPUTED_VALUE"""),"")</f>
        <v/>
      </c>
      <c r="H219" s="62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5.75" customHeight="1">
      <c r="A220" s="61"/>
      <c r="B220" s="61"/>
      <c r="C220" s="61"/>
      <c r="D220" s="61"/>
      <c r="E220" s="61"/>
      <c r="F220" s="61"/>
      <c r="G220" s="61" t="str">
        <f>IFERROR(__xludf.DUMMYFUNCTION("""COMPUTED_VALUE"""),"")</f>
        <v/>
      </c>
      <c r="H220" s="62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5.75" customHeight="1">
      <c r="A221" s="61"/>
      <c r="B221" s="61"/>
      <c r="C221" s="61"/>
      <c r="D221" s="61"/>
      <c r="E221" s="61"/>
      <c r="F221" s="61"/>
      <c r="G221" s="61" t="str">
        <f>IFERROR(__xludf.DUMMYFUNCTION("""COMPUTED_VALUE"""),"")</f>
        <v/>
      </c>
      <c r="H221" s="62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5.75" customHeight="1">
      <c r="A222" s="61"/>
      <c r="B222" s="61"/>
      <c r="C222" s="61"/>
      <c r="D222" s="61"/>
      <c r="E222" s="61"/>
      <c r="F222" s="61"/>
      <c r="G222" s="61" t="str">
        <f>IFERROR(__xludf.DUMMYFUNCTION("""COMPUTED_VALUE"""),"")</f>
        <v/>
      </c>
      <c r="H222" s="62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5.75" customHeight="1">
      <c r="A223" s="61"/>
      <c r="B223" s="61"/>
      <c r="C223" s="61"/>
      <c r="D223" s="61"/>
      <c r="E223" s="61"/>
      <c r="F223" s="61"/>
      <c r="G223" s="61" t="str">
        <f>IFERROR(__xludf.DUMMYFUNCTION("""COMPUTED_VALUE"""),"")</f>
        <v/>
      </c>
      <c r="H223" s="62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5.75" customHeight="1">
      <c r="A224" s="61"/>
      <c r="B224" s="61"/>
      <c r="C224" s="61"/>
      <c r="D224" s="61"/>
      <c r="E224" s="61"/>
      <c r="F224" s="61"/>
      <c r="G224" s="61" t="str">
        <f>IFERROR(__xludf.DUMMYFUNCTION("""COMPUTED_VALUE"""),"")</f>
        <v/>
      </c>
      <c r="H224" s="62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5.75" customHeight="1">
      <c r="A225" s="61"/>
      <c r="B225" s="61"/>
      <c r="C225" s="61"/>
      <c r="D225" s="61"/>
      <c r="E225" s="61"/>
      <c r="F225" s="61"/>
      <c r="G225" s="61" t="str">
        <f>IFERROR(__xludf.DUMMYFUNCTION("""COMPUTED_VALUE"""),"")</f>
        <v/>
      </c>
      <c r="H225" s="62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>
      <c r="A226" s="61"/>
      <c r="B226" s="61"/>
      <c r="C226" s="61"/>
      <c r="D226" s="61"/>
      <c r="E226" s="61"/>
      <c r="F226" s="61"/>
      <c r="G226" s="61" t="str">
        <f>IFERROR(__xludf.DUMMYFUNCTION("""COMPUTED_VALUE"""),"")</f>
        <v/>
      </c>
      <c r="H226" s="62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5.75" customHeight="1">
      <c r="A227" s="61"/>
      <c r="B227" s="61"/>
      <c r="C227" s="61"/>
      <c r="D227" s="61"/>
      <c r="E227" s="61"/>
      <c r="F227" s="61"/>
      <c r="G227" s="61" t="str">
        <f>IFERROR(__xludf.DUMMYFUNCTION("""COMPUTED_VALUE"""),"")</f>
        <v/>
      </c>
      <c r="H227" s="62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5.75" customHeight="1">
      <c r="A228" s="61"/>
      <c r="B228" s="61"/>
      <c r="C228" s="61"/>
      <c r="D228" s="61"/>
      <c r="E228" s="61"/>
      <c r="F228" s="61"/>
      <c r="G228" s="61" t="str">
        <f>IFERROR(__xludf.DUMMYFUNCTION("""COMPUTED_VALUE"""),"")</f>
        <v/>
      </c>
      <c r="H228" s="62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5.75" customHeight="1">
      <c r="A229" s="61"/>
      <c r="B229" s="61"/>
      <c r="C229" s="61"/>
      <c r="D229" s="61"/>
      <c r="E229" s="61"/>
      <c r="F229" s="61"/>
      <c r="G229" s="61" t="str">
        <f>IFERROR(__xludf.DUMMYFUNCTION("""COMPUTED_VALUE"""),"")</f>
        <v/>
      </c>
      <c r="H229" s="62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>
      <c r="A230" s="61"/>
      <c r="B230" s="61"/>
      <c r="C230" s="61"/>
      <c r="D230" s="61"/>
      <c r="E230" s="61"/>
      <c r="F230" s="61"/>
      <c r="G230" s="61" t="str">
        <f>IFERROR(__xludf.DUMMYFUNCTION("""COMPUTED_VALUE"""),"")</f>
        <v/>
      </c>
      <c r="H230" s="62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5.75" customHeight="1">
      <c r="A231" s="61"/>
      <c r="B231" s="61"/>
      <c r="C231" s="61"/>
      <c r="D231" s="61"/>
      <c r="E231" s="61"/>
      <c r="F231" s="61"/>
      <c r="G231" s="61" t="str">
        <f>IFERROR(__xludf.DUMMYFUNCTION("""COMPUTED_VALUE"""),"")</f>
        <v/>
      </c>
      <c r="H231" s="62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5.75" customHeight="1">
      <c r="A232" s="61"/>
      <c r="B232" s="61"/>
      <c r="C232" s="61"/>
      <c r="D232" s="61"/>
      <c r="E232" s="61"/>
      <c r="F232" s="61"/>
      <c r="G232" s="61" t="str">
        <f>IFERROR(__xludf.DUMMYFUNCTION("""COMPUTED_VALUE"""),"")</f>
        <v/>
      </c>
      <c r="H232" s="62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5.75" customHeight="1">
      <c r="A233" s="61"/>
      <c r="B233" s="61"/>
      <c r="C233" s="61"/>
      <c r="D233" s="61"/>
      <c r="E233" s="61"/>
      <c r="F233" s="61"/>
      <c r="G233" s="61" t="str">
        <f>IFERROR(__xludf.DUMMYFUNCTION("""COMPUTED_VALUE"""),"")</f>
        <v/>
      </c>
      <c r="H233" s="62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15.75" customHeight="1">
      <c r="A234" s="61"/>
      <c r="B234" s="61"/>
      <c r="C234" s="61"/>
      <c r="D234" s="61"/>
      <c r="E234" s="61"/>
      <c r="F234" s="61"/>
      <c r="G234" s="61" t="str">
        <f>IFERROR(__xludf.DUMMYFUNCTION("""COMPUTED_VALUE"""),"")</f>
        <v/>
      </c>
      <c r="H234" s="62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15.75" customHeight="1">
      <c r="A235" s="61"/>
      <c r="B235" s="61"/>
      <c r="C235" s="61"/>
      <c r="D235" s="61"/>
      <c r="E235" s="61"/>
      <c r="F235" s="61"/>
      <c r="G235" s="61" t="str">
        <f>IFERROR(__xludf.DUMMYFUNCTION("""COMPUTED_VALUE"""),"")</f>
        <v/>
      </c>
      <c r="H235" s="62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15.75" customHeight="1">
      <c r="A236" s="61"/>
      <c r="B236" s="61"/>
      <c r="C236" s="61"/>
      <c r="D236" s="61"/>
      <c r="E236" s="61"/>
      <c r="F236" s="61"/>
      <c r="G236" s="61" t="str">
        <f>IFERROR(__xludf.DUMMYFUNCTION("""COMPUTED_VALUE"""),"")</f>
        <v/>
      </c>
      <c r="H236" s="62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ht="15.75" customHeight="1">
      <c r="A237" s="61"/>
      <c r="B237" s="61"/>
      <c r="C237" s="61"/>
      <c r="D237" s="61"/>
      <c r="E237" s="61"/>
      <c r="F237" s="61"/>
      <c r="G237" s="61" t="str">
        <f>IFERROR(__xludf.DUMMYFUNCTION("""COMPUTED_VALUE"""),"")</f>
        <v/>
      </c>
      <c r="H237" s="62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ht="15.75" customHeight="1">
      <c r="A238" s="61"/>
      <c r="B238" s="61"/>
      <c r="C238" s="61"/>
      <c r="D238" s="61"/>
      <c r="E238" s="61"/>
      <c r="F238" s="61"/>
      <c r="G238" s="61" t="str">
        <f>IFERROR(__xludf.DUMMYFUNCTION("""COMPUTED_VALUE"""),"")</f>
        <v/>
      </c>
      <c r="H238" s="62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ht="15.75" customHeight="1">
      <c r="A239" s="61"/>
      <c r="B239" s="61"/>
      <c r="C239" s="61"/>
      <c r="D239" s="61"/>
      <c r="E239" s="61"/>
      <c r="F239" s="61"/>
      <c r="G239" s="61" t="str">
        <f>IFERROR(__xludf.DUMMYFUNCTION("""COMPUTED_VALUE"""),"")</f>
        <v/>
      </c>
      <c r="H239" s="62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ht="15.75" customHeight="1">
      <c r="A240" s="61"/>
      <c r="B240" s="61"/>
      <c r="C240" s="61"/>
      <c r="D240" s="61"/>
      <c r="E240" s="61"/>
      <c r="F240" s="61"/>
      <c r="G240" s="61" t="str">
        <f>IFERROR(__xludf.DUMMYFUNCTION("""COMPUTED_VALUE"""),"")</f>
        <v/>
      </c>
      <c r="H240" s="62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ht="15.75" customHeight="1">
      <c r="A241" s="61"/>
      <c r="B241" s="61"/>
      <c r="C241" s="61"/>
      <c r="D241" s="61"/>
      <c r="E241" s="61"/>
      <c r="F241" s="61"/>
      <c r="G241" s="61" t="str">
        <f>IFERROR(__xludf.DUMMYFUNCTION("""COMPUTED_VALUE"""),"")</f>
        <v/>
      </c>
      <c r="H241" s="62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ht="15.75" customHeight="1">
      <c r="A242" s="61"/>
      <c r="B242" s="61"/>
      <c r="C242" s="61"/>
      <c r="D242" s="61"/>
      <c r="E242" s="61"/>
      <c r="F242" s="61"/>
      <c r="G242" s="61" t="str">
        <f>IFERROR(__xludf.DUMMYFUNCTION("""COMPUTED_VALUE"""),"")</f>
        <v/>
      </c>
      <c r="H242" s="62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ht="15.75" customHeight="1">
      <c r="A243" s="61"/>
      <c r="B243" s="61"/>
      <c r="C243" s="61"/>
      <c r="D243" s="61"/>
      <c r="E243" s="61"/>
      <c r="F243" s="61"/>
      <c r="G243" s="61" t="str">
        <f>IFERROR(__xludf.DUMMYFUNCTION("""COMPUTED_VALUE"""),"")</f>
        <v/>
      </c>
      <c r="H243" s="62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ht="15.75" customHeight="1">
      <c r="A244" s="61"/>
      <c r="B244" s="61"/>
      <c r="C244" s="61"/>
      <c r="D244" s="61"/>
      <c r="E244" s="61"/>
      <c r="F244" s="61"/>
      <c r="G244" s="61" t="str">
        <f>IFERROR(__xludf.DUMMYFUNCTION("""COMPUTED_VALUE"""),"")</f>
        <v/>
      </c>
      <c r="H244" s="62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ht="15.75" customHeight="1">
      <c r="A245" s="61"/>
      <c r="B245" s="61"/>
      <c r="C245" s="61"/>
      <c r="D245" s="61"/>
      <c r="E245" s="61"/>
      <c r="F245" s="61"/>
      <c r="G245" s="61" t="str">
        <f>IFERROR(__xludf.DUMMYFUNCTION("""COMPUTED_VALUE"""),"")</f>
        <v/>
      </c>
      <c r="H245" s="62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ht="15.75" customHeight="1">
      <c r="A246" s="61"/>
      <c r="B246" s="61"/>
      <c r="C246" s="61"/>
      <c r="D246" s="61"/>
      <c r="E246" s="61"/>
      <c r="F246" s="61"/>
      <c r="G246" s="61" t="str">
        <f>IFERROR(__xludf.DUMMYFUNCTION("""COMPUTED_VALUE"""),"")</f>
        <v/>
      </c>
      <c r="H246" s="62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ht="15.75" customHeight="1">
      <c r="A247" s="61"/>
      <c r="B247" s="61"/>
      <c r="C247" s="61"/>
      <c r="D247" s="61"/>
      <c r="E247" s="61"/>
      <c r="F247" s="61"/>
      <c r="G247" s="61" t="str">
        <f>IFERROR(__xludf.DUMMYFUNCTION("""COMPUTED_VALUE"""),"")</f>
        <v/>
      </c>
      <c r="H247" s="62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ht="15.75" customHeight="1">
      <c r="A248" s="61"/>
      <c r="B248" s="61"/>
      <c r="C248" s="61"/>
      <c r="D248" s="61"/>
      <c r="E248" s="61"/>
      <c r="F248" s="61"/>
      <c r="G248" s="61" t="str">
        <f>IFERROR(__xludf.DUMMYFUNCTION("""COMPUTED_VALUE"""),"")</f>
        <v/>
      </c>
      <c r="H248" s="62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ht="15.75" customHeight="1">
      <c r="A249" s="61"/>
      <c r="B249" s="61"/>
      <c r="C249" s="61"/>
      <c r="D249" s="61"/>
      <c r="E249" s="61"/>
      <c r="F249" s="61"/>
      <c r="G249" s="61" t="str">
        <f>IFERROR(__xludf.DUMMYFUNCTION("""COMPUTED_VALUE"""),"")</f>
        <v/>
      </c>
      <c r="H249" s="62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ht="15.75" customHeight="1">
      <c r="A250" s="61"/>
      <c r="B250" s="61"/>
      <c r="C250" s="61"/>
      <c r="D250" s="61"/>
      <c r="E250" s="61"/>
      <c r="F250" s="61"/>
      <c r="G250" s="61" t="str">
        <f>IFERROR(__xludf.DUMMYFUNCTION("""COMPUTED_VALUE"""),"")</f>
        <v/>
      </c>
      <c r="H250" s="62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ht="15.75" customHeight="1">
      <c r="A251" s="61"/>
      <c r="B251" s="61"/>
      <c r="C251" s="61"/>
      <c r="D251" s="61"/>
      <c r="E251" s="61"/>
      <c r="F251" s="61"/>
      <c r="G251" s="61" t="str">
        <f>IFERROR(__xludf.DUMMYFUNCTION("""COMPUTED_VALUE"""),"")</f>
        <v/>
      </c>
      <c r="H251" s="62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ht="15.75" customHeight="1">
      <c r="A252" s="61"/>
      <c r="B252" s="61"/>
      <c r="C252" s="61"/>
      <c r="D252" s="61"/>
      <c r="E252" s="61"/>
      <c r="F252" s="61"/>
      <c r="G252" s="61" t="str">
        <f>IFERROR(__xludf.DUMMYFUNCTION("""COMPUTED_VALUE"""),"")</f>
        <v/>
      </c>
      <c r="H252" s="62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ht="15.75" customHeight="1">
      <c r="A253" s="61"/>
      <c r="B253" s="61"/>
      <c r="C253" s="61"/>
      <c r="D253" s="61"/>
      <c r="E253" s="61"/>
      <c r="F253" s="61"/>
      <c r="G253" s="61" t="str">
        <f>IFERROR(__xludf.DUMMYFUNCTION("""COMPUTED_VALUE"""),"")</f>
        <v/>
      </c>
      <c r="H253" s="62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ht="15.75" customHeight="1">
      <c r="A254" s="61"/>
      <c r="B254" s="61"/>
      <c r="C254" s="61"/>
      <c r="D254" s="61"/>
      <c r="E254" s="61"/>
      <c r="F254" s="61"/>
      <c r="G254" s="61" t="str">
        <f>IFERROR(__xludf.DUMMYFUNCTION("""COMPUTED_VALUE"""),"")</f>
        <v/>
      </c>
      <c r="H254" s="62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ht="15.75" customHeight="1">
      <c r="A255" s="61"/>
      <c r="B255" s="61"/>
      <c r="C255" s="61"/>
      <c r="D255" s="61"/>
      <c r="E255" s="61"/>
      <c r="F255" s="61"/>
      <c r="G255" s="61" t="str">
        <f>IFERROR(__xludf.DUMMYFUNCTION("""COMPUTED_VALUE"""),"")</f>
        <v/>
      </c>
      <c r="H255" s="62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ht="15.75" customHeight="1">
      <c r="A256" s="61"/>
      <c r="B256" s="61"/>
      <c r="C256" s="61"/>
      <c r="D256" s="61"/>
      <c r="E256" s="61"/>
      <c r="F256" s="61"/>
      <c r="G256" s="61" t="str">
        <f>IFERROR(__xludf.DUMMYFUNCTION("""COMPUTED_VALUE"""),"")</f>
        <v/>
      </c>
      <c r="H256" s="62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ht="15.75" customHeight="1">
      <c r="A257" s="61"/>
      <c r="B257" s="61"/>
      <c r="C257" s="61"/>
      <c r="D257" s="61"/>
      <c r="E257" s="61"/>
      <c r="F257" s="61"/>
      <c r="G257" s="61" t="str">
        <f>IFERROR(__xludf.DUMMYFUNCTION("""COMPUTED_VALUE"""),"")</f>
        <v/>
      </c>
      <c r="H257" s="62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ht="15.75" customHeight="1">
      <c r="A258" s="61"/>
      <c r="B258" s="61"/>
      <c r="C258" s="61"/>
      <c r="D258" s="61"/>
      <c r="E258" s="61"/>
      <c r="F258" s="61"/>
      <c r="G258" s="61" t="str">
        <f>IFERROR(__xludf.DUMMYFUNCTION("""COMPUTED_VALUE"""),"")</f>
        <v/>
      </c>
      <c r="H258" s="62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ht="15.75" customHeight="1">
      <c r="A259" s="61"/>
      <c r="B259" s="61"/>
      <c r="C259" s="61"/>
      <c r="D259" s="61"/>
      <c r="E259" s="61"/>
      <c r="F259" s="61"/>
      <c r="G259" s="61" t="str">
        <f>IFERROR(__xludf.DUMMYFUNCTION("""COMPUTED_VALUE"""),"")</f>
        <v/>
      </c>
      <c r="H259" s="62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ht="15.75" customHeight="1">
      <c r="A260" s="61"/>
      <c r="B260" s="61"/>
      <c r="C260" s="61"/>
      <c r="D260" s="61"/>
      <c r="E260" s="61"/>
      <c r="F260" s="61"/>
      <c r="G260" s="61" t="str">
        <f>IFERROR(__xludf.DUMMYFUNCTION("""COMPUTED_VALUE"""),"")</f>
        <v/>
      </c>
      <c r="H260" s="62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ht="15.75" customHeight="1">
      <c r="A261" s="61"/>
      <c r="B261" s="61"/>
      <c r="C261" s="61"/>
      <c r="D261" s="61"/>
      <c r="E261" s="61"/>
      <c r="F261" s="61"/>
      <c r="G261" s="61" t="str">
        <f>IFERROR(__xludf.DUMMYFUNCTION("""COMPUTED_VALUE"""),"")</f>
        <v/>
      </c>
      <c r="H261" s="62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ht="15.75" customHeight="1">
      <c r="A262" s="61"/>
      <c r="B262" s="61"/>
      <c r="C262" s="61"/>
      <c r="D262" s="61"/>
      <c r="E262" s="61"/>
      <c r="F262" s="61"/>
      <c r="G262" s="61" t="str">
        <f>IFERROR(__xludf.DUMMYFUNCTION("""COMPUTED_VALUE"""),"")</f>
        <v/>
      </c>
      <c r="H262" s="62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ht="15.75" customHeight="1">
      <c r="A263" s="61"/>
      <c r="B263" s="61"/>
      <c r="C263" s="61"/>
      <c r="D263" s="61"/>
      <c r="E263" s="61"/>
      <c r="F263" s="61"/>
      <c r="G263" s="61" t="str">
        <f>IFERROR(__xludf.DUMMYFUNCTION("""COMPUTED_VALUE"""),"")</f>
        <v/>
      </c>
      <c r="H263" s="62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ht="15.75" customHeight="1">
      <c r="A264" s="61"/>
      <c r="B264" s="61"/>
      <c r="C264" s="61"/>
      <c r="D264" s="61"/>
      <c r="E264" s="61"/>
      <c r="F264" s="61"/>
      <c r="G264" s="61" t="str">
        <f>IFERROR(__xludf.DUMMYFUNCTION("""COMPUTED_VALUE"""),"")</f>
        <v/>
      </c>
      <c r="H264" s="62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ht="15.75" customHeight="1">
      <c r="A265" s="61"/>
      <c r="B265" s="61"/>
      <c r="C265" s="61"/>
      <c r="D265" s="61"/>
      <c r="E265" s="61"/>
      <c r="F265" s="61"/>
      <c r="G265" s="61" t="str">
        <f>IFERROR(__xludf.DUMMYFUNCTION("""COMPUTED_VALUE"""),"")</f>
        <v/>
      </c>
      <c r="H265" s="62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ht="15.75" customHeight="1">
      <c r="A266" s="61"/>
      <c r="B266" s="61"/>
      <c r="C266" s="61"/>
      <c r="D266" s="61"/>
      <c r="E266" s="61"/>
      <c r="F266" s="61"/>
      <c r="G266" s="61" t="str">
        <f>IFERROR(__xludf.DUMMYFUNCTION("""COMPUTED_VALUE"""),"")</f>
        <v/>
      </c>
      <c r="H266" s="62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ht="15.75" customHeight="1">
      <c r="A267" s="61"/>
      <c r="B267" s="61"/>
      <c r="C267" s="61"/>
      <c r="D267" s="61"/>
      <c r="E267" s="61"/>
      <c r="F267" s="61"/>
      <c r="G267" s="61" t="str">
        <f>IFERROR(__xludf.DUMMYFUNCTION("""COMPUTED_VALUE"""),"")</f>
        <v/>
      </c>
      <c r="H267" s="62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ht="15.75" customHeight="1">
      <c r="A268" s="61"/>
      <c r="B268" s="61"/>
      <c r="C268" s="61"/>
      <c r="D268" s="61"/>
      <c r="E268" s="61"/>
      <c r="F268" s="61"/>
      <c r="G268" s="61" t="str">
        <f>IFERROR(__xludf.DUMMYFUNCTION("""COMPUTED_VALUE"""),"")</f>
        <v/>
      </c>
      <c r="H268" s="62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ht="15.75" customHeight="1">
      <c r="A269" s="61"/>
      <c r="B269" s="61"/>
      <c r="C269" s="61"/>
      <c r="D269" s="61"/>
      <c r="E269" s="61"/>
      <c r="F269" s="61"/>
      <c r="G269" s="61" t="str">
        <f>IFERROR(__xludf.DUMMYFUNCTION("""COMPUTED_VALUE"""),"")</f>
        <v/>
      </c>
      <c r="H269" s="62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ht="15.75" customHeight="1">
      <c r="A270" s="61"/>
      <c r="B270" s="61"/>
      <c r="C270" s="61"/>
      <c r="D270" s="61"/>
      <c r="E270" s="61"/>
      <c r="F270" s="61"/>
      <c r="G270" s="61" t="str">
        <f>IFERROR(__xludf.DUMMYFUNCTION("""COMPUTED_VALUE"""),"")</f>
        <v/>
      </c>
      <c r="H270" s="62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ht="15.75" customHeight="1">
      <c r="A271" s="61"/>
      <c r="B271" s="61"/>
      <c r="C271" s="61"/>
      <c r="D271" s="61"/>
      <c r="E271" s="61"/>
      <c r="F271" s="61"/>
      <c r="G271" s="61" t="str">
        <f>IFERROR(__xludf.DUMMYFUNCTION("""COMPUTED_VALUE"""),"")</f>
        <v/>
      </c>
      <c r="H271" s="62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ht="15.75" customHeight="1">
      <c r="A272" s="61"/>
      <c r="B272" s="61"/>
      <c r="C272" s="61"/>
      <c r="D272" s="61"/>
      <c r="E272" s="61"/>
      <c r="F272" s="61"/>
      <c r="G272" s="61" t="str">
        <f>IFERROR(__xludf.DUMMYFUNCTION("""COMPUTED_VALUE"""),"")</f>
        <v/>
      </c>
      <c r="H272" s="62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ht="15.75" customHeight="1">
      <c r="A273" s="61"/>
      <c r="B273" s="61"/>
      <c r="C273" s="61"/>
      <c r="D273" s="61"/>
      <c r="E273" s="61"/>
      <c r="F273" s="61"/>
      <c r="G273" s="61" t="str">
        <f>IFERROR(__xludf.DUMMYFUNCTION("""COMPUTED_VALUE"""),"")</f>
        <v/>
      </c>
      <c r="H273" s="62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ht="15.75" customHeight="1">
      <c r="A274" s="61"/>
      <c r="B274" s="61"/>
      <c r="C274" s="61"/>
      <c r="D274" s="61"/>
      <c r="E274" s="61"/>
      <c r="F274" s="61"/>
      <c r="G274" s="61" t="str">
        <f>IFERROR(__xludf.DUMMYFUNCTION("""COMPUTED_VALUE"""),"")</f>
        <v/>
      </c>
      <c r="H274" s="62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ht="15.75" customHeight="1">
      <c r="A275" s="61"/>
      <c r="B275" s="61"/>
      <c r="C275" s="61"/>
      <c r="D275" s="61"/>
      <c r="E275" s="61"/>
      <c r="F275" s="61"/>
      <c r="G275" s="61" t="str">
        <f>IFERROR(__xludf.DUMMYFUNCTION("""COMPUTED_VALUE"""),"")</f>
        <v/>
      </c>
      <c r="H275" s="62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ht="15.75" customHeight="1">
      <c r="A276" s="61"/>
      <c r="B276" s="61"/>
      <c r="C276" s="61"/>
      <c r="D276" s="61"/>
      <c r="E276" s="61"/>
      <c r="F276" s="61"/>
      <c r="G276" s="61" t="str">
        <f>IFERROR(__xludf.DUMMYFUNCTION("""COMPUTED_VALUE"""),"")</f>
        <v/>
      </c>
      <c r="H276" s="62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ht="15.75" customHeight="1">
      <c r="A277" s="61"/>
      <c r="B277" s="61"/>
      <c r="C277" s="61"/>
      <c r="D277" s="61"/>
      <c r="E277" s="61"/>
      <c r="F277" s="61"/>
      <c r="G277" s="61" t="str">
        <f>IFERROR(__xludf.DUMMYFUNCTION("""COMPUTED_VALUE"""),"")</f>
        <v/>
      </c>
      <c r="H277" s="62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ht="15.75" customHeight="1">
      <c r="A278" s="61"/>
      <c r="B278" s="61"/>
      <c r="C278" s="61"/>
      <c r="D278" s="61"/>
      <c r="E278" s="61"/>
      <c r="F278" s="61"/>
      <c r="G278" s="61" t="str">
        <f>IFERROR(__xludf.DUMMYFUNCTION("""COMPUTED_VALUE"""),"")</f>
        <v/>
      </c>
      <c r="H278" s="62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ht="15.75" customHeight="1">
      <c r="A279" s="61"/>
      <c r="B279" s="61"/>
      <c r="C279" s="61"/>
      <c r="D279" s="61"/>
      <c r="E279" s="61"/>
      <c r="F279" s="61"/>
      <c r="G279" s="61" t="str">
        <f>IFERROR(__xludf.DUMMYFUNCTION("""COMPUTED_VALUE"""),"")</f>
        <v/>
      </c>
      <c r="H279" s="62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ht="15.75" customHeight="1">
      <c r="A280" s="61"/>
      <c r="B280" s="61"/>
      <c r="C280" s="61"/>
      <c r="D280" s="61"/>
      <c r="E280" s="61"/>
      <c r="F280" s="61"/>
      <c r="G280" s="61" t="str">
        <f>IFERROR(__xludf.DUMMYFUNCTION("""COMPUTED_VALUE"""),"")</f>
        <v/>
      </c>
      <c r="H280" s="62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ht="15.75" customHeight="1">
      <c r="A281" s="61"/>
      <c r="B281" s="61"/>
      <c r="C281" s="61"/>
      <c r="D281" s="61"/>
      <c r="E281" s="61"/>
      <c r="F281" s="61"/>
      <c r="G281" s="61" t="str">
        <f>IFERROR(__xludf.DUMMYFUNCTION("""COMPUTED_VALUE"""),"")</f>
        <v/>
      </c>
      <c r="H281" s="62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ht="15.75" customHeight="1">
      <c r="A282" s="61"/>
      <c r="B282" s="61"/>
      <c r="C282" s="61"/>
      <c r="D282" s="61"/>
      <c r="E282" s="61"/>
      <c r="F282" s="61"/>
      <c r="G282" s="61" t="str">
        <f>IFERROR(__xludf.DUMMYFUNCTION("""COMPUTED_VALUE"""),"")</f>
        <v/>
      </c>
      <c r="H282" s="62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ht="15.75" customHeight="1">
      <c r="A283" s="61"/>
      <c r="B283" s="61"/>
      <c r="C283" s="61"/>
      <c r="D283" s="61"/>
      <c r="E283" s="61"/>
      <c r="F283" s="61"/>
      <c r="G283" s="61" t="str">
        <f>IFERROR(__xludf.DUMMYFUNCTION("""COMPUTED_VALUE"""),"")</f>
        <v/>
      </c>
      <c r="H283" s="62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ht="15.75" customHeight="1">
      <c r="A284" s="61"/>
      <c r="B284" s="61"/>
      <c r="C284" s="61"/>
      <c r="D284" s="61"/>
      <c r="E284" s="61"/>
      <c r="F284" s="61"/>
      <c r="G284" s="61" t="str">
        <f>IFERROR(__xludf.DUMMYFUNCTION("""COMPUTED_VALUE"""),"")</f>
        <v/>
      </c>
      <c r="H284" s="62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ht="15.75" customHeight="1">
      <c r="A285" s="61"/>
      <c r="B285" s="61"/>
      <c r="C285" s="61"/>
      <c r="D285" s="61"/>
      <c r="E285" s="61"/>
      <c r="F285" s="61"/>
      <c r="G285" s="61" t="str">
        <f>IFERROR(__xludf.DUMMYFUNCTION("""COMPUTED_VALUE"""),"")</f>
        <v/>
      </c>
      <c r="H285" s="62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ht="15.75" customHeight="1">
      <c r="A286" s="61"/>
      <c r="B286" s="61"/>
      <c r="C286" s="61"/>
      <c r="D286" s="61"/>
      <c r="E286" s="61"/>
      <c r="F286" s="61"/>
      <c r="G286" s="61" t="str">
        <f>IFERROR(__xludf.DUMMYFUNCTION("""COMPUTED_VALUE"""),"")</f>
        <v/>
      </c>
      <c r="H286" s="62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ht="15.75" customHeight="1">
      <c r="A287" s="61"/>
      <c r="B287" s="61"/>
      <c r="C287" s="61"/>
      <c r="D287" s="61"/>
      <c r="E287" s="61"/>
      <c r="F287" s="61"/>
      <c r="G287" s="61" t="str">
        <f>IFERROR(__xludf.DUMMYFUNCTION("""COMPUTED_VALUE"""),"")</f>
        <v/>
      </c>
      <c r="H287" s="62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ht="15.75" customHeight="1">
      <c r="A288" s="61"/>
      <c r="B288" s="61"/>
      <c r="C288" s="61"/>
      <c r="D288" s="61"/>
      <c r="E288" s="61"/>
      <c r="F288" s="61"/>
      <c r="G288" s="61" t="str">
        <f>IFERROR(__xludf.DUMMYFUNCTION("""COMPUTED_VALUE"""),"")</f>
        <v/>
      </c>
      <c r="H288" s="62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ht="15.75" customHeight="1">
      <c r="A289" s="61"/>
      <c r="B289" s="61"/>
      <c r="C289" s="61"/>
      <c r="D289" s="61"/>
      <c r="E289" s="61"/>
      <c r="F289" s="61"/>
      <c r="G289" s="61" t="str">
        <f>IFERROR(__xludf.DUMMYFUNCTION("""COMPUTED_VALUE"""),"")</f>
        <v/>
      </c>
      <c r="H289" s="62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ht="15.75" customHeight="1">
      <c r="A290" s="61"/>
      <c r="B290" s="61"/>
      <c r="C290" s="61"/>
      <c r="D290" s="61"/>
      <c r="E290" s="61"/>
      <c r="F290" s="61"/>
      <c r="G290" s="61" t="str">
        <f>IFERROR(__xludf.DUMMYFUNCTION("""COMPUTED_VALUE"""),"")</f>
        <v/>
      </c>
      <c r="H290" s="62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ht="15.75" customHeight="1">
      <c r="A291" s="61"/>
      <c r="B291" s="61"/>
      <c r="C291" s="61"/>
      <c r="D291" s="61"/>
      <c r="E291" s="61"/>
      <c r="F291" s="61"/>
      <c r="G291" s="61" t="str">
        <f>IFERROR(__xludf.DUMMYFUNCTION("""COMPUTED_VALUE"""),"")</f>
        <v/>
      </c>
      <c r="H291" s="62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ht="15.75" customHeight="1">
      <c r="A292" s="61"/>
      <c r="B292" s="61"/>
      <c r="C292" s="61"/>
      <c r="D292" s="61"/>
      <c r="E292" s="61"/>
      <c r="F292" s="61"/>
      <c r="G292" s="61" t="str">
        <f>IFERROR(__xludf.DUMMYFUNCTION("""COMPUTED_VALUE"""),"")</f>
        <v/>
      </c>
      <c r="H292" s="62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ht="15.75" customHeight="1">
      <c r="A293" s="61"/>
      <c r="B293" s="61"/>
      <c r="C293" s="61"/>
      <c r="D293" s="61"/>
      <c r="E293" s="61"/>
      <c r="F293" s="61"/>
      <c r="G293" s="61" t="str">
        <f>IFERROR(__xludf.DUMMYFUNCTION("""COMPUTED_VALUE"""),"")</f>
        <v/>
      </c>
      <c r="H293" s="62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ht="15.75" customHeight="1">
      <c r="A294" s="61"/>
      <c r="B294" s="61"/>
      <c r="C294" s="61"/>
      <c r="D294" s="61"/>
      <c r="E294" s="61"/>
      <c r="F294" s="61"/>
      <c r="G294" s="61" t="str">
        <f>IFERROR(__xludf.DUMMYFUNCTION("""COMPUTED_VALUE"""),"")</f>
        <v/>
      </c>
      <c r="H294" s="62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ht="15.75" customHeight="1">
      <c r="A295" s="61"/>
      <c r="B295" s="61"/>
      <c r="C295" s="61"/>
      <c r="D295" s="61"/>
      <c r="E295" s="61"/>
      <c r="F295" s="61"/>
      <c r="G295" s="61" t="str">
        <f>IFERROR(__xludf.DUMMYFUNCTION("""COMPUTED_VALUE"""),"")</f>
        <v/>
      </c>
      <c r="H295" s="62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ht="15.75" customHeight="1">
      <c r="A296" s="61"/>
      <c r="B296" s="61"/>
      <c r="C296" s="61"/>
      <c r="D296" s="61"/>
      <c r="E296" s="61"/>
      <c r="F296" s="61"/>
      <c r="G296" s="61" t="str">
        <f>IFERROR(__xludf.DUMMYFUNCTION("""COMPUTED_VALUE"""),"")</f>
        <v/>
      </c>
      <c r="H296" s="62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ht="15.75" customHeight="1">
      <c r="A297" s="61"/>
      <c r="B297" s="61"/>
      <c r="C297" s="61"/>
      <c r="D297" s="61"/>
      <c r="E297" s="61"/>
      <c r="F297" s="61"/>
      <c r="G297" s="61" t="str">
        <f>IFERROR(__xludf.DUMMYFUNCTION("""COMPUTED_VALUE"""),"")</f>
        <v/>
      </c>
      <c r="H297" s="62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ht="15.75" customHeight="1">
      <c r="A298" s="61"/>
      <c r="B298" s="61"/>
      <c r="C298" s="61"/>
      <c r="D298" s="61"/>
      <c r="E298" s="61"/>
      <c r="F298" s="61"/>
      <c r="G298" s="61" t="str">
        <f>IFERROR(__xludf.DUMMYFUNCTION("""COMPUTED_VALUE"""),"")</f>
        <v/>
      </c>
      <c r="H298" s="62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ht="15.75" customHeight="1">
      <c r="A299" s="61"/>
      <c r="B299" s="61"/>
      <c r="C299" s="61"/>
      <c r="D299" s="61"/>
      <c r="E299" s="61"/>
      <c r="F299" s="61"/>
      <c r="G299" s="61" t="str">
        <f>IFERROR(__xludf.DUMMYFUNCTION("""COMPUTED_VALUE"""),"")</f>
        <v/>
      </c>
      <c r="H299" s="62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ht="15.75" customHeight="1">
      <c r="A300" s="61"/>
      <c r="B300" s="61"/>
      <c r="C300" s="61"/>
      <c r="D300" s="61"/>
      <c r="E300" s="61"/>
      <c r="F300" s="61"/>
      <c r="G300" s="61" t="str">
        <f>IFERROR(__xludf.DUMMYFUNCTION("""COMPUTED_VALUE"""),"")</f>
        <v/>
      </c>
      <c r="H300" s="62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ht="15.75" customHeight="1">
      <c r="A301" s="61"/>
      <c r="B301" s="61"/>
      <c r="C301" s="61"/>
      <c r="D301" s="61"/>
      <c r="E301" s="61"/>
      <c r="F301" s="61"/>
      <c r="G301" s="61" t="str">
        <f>IFERROR(__xludf.DUMMYFUNCTION("""COMPUTED_VALUE"""),"")</f>
        <v/>
      </c>
      <c r="H301" s="62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ht="15.75" customHeight="1">
      <c r="A302" s="61"/>
      <c r="B302" s="61"/>
      <c r="C302" s="61"/>
      <c r="D302" s="61"/>
      <c r="E302" s="61"/>
      <c r="F302" s="61"/>
      <c r="G302" s="61" t="str">
        <f>IFERROR(__xludf.DUMMYFUNCTION("""COMPUTED_VALUE"""),"")</f>
        <v/>
      </c>
      <c r="H302" s="62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ht="15.75" customHeight="1">
      <c r="A303" s="61"/>
      <c r="B303" s="61"/>
      <c r="C303" s="61"/>
      <c r="D303" s="61"/>
      <c r="E303" s="61"/>
      <c r="F303" s="61"/>
      <c r="G303" s="61" t="str">
        <f>IFERROR(__xludf.DUMMYFUNCTION("""COMPUTED_VALUE"""),"")</f>
        <v/>
      </c>
      <c r="H303" s="62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ht="15.75" customHeight="1">
      <c r="A304" s="61"/>
      <c r="B304" s="61"/>
      <c r="C304" s="61"/>
      <c r="D304" s="61"/>
      <c r="E304" s="61"/>
      <c r="F304" s="61"/>
      <c r="G304" s="61" t="str">
        <f>IFERROR(__xludf.DUMMYFUNCTION("""COMPUTED_VALUE"""),"")</f>
        <v/>
      </c>
      <c r="H304" s="62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ht="15.75" customHeight="1">
      <c r="A305" s="61"/>
      <c r="B305" s="61"/>
      <c r="C305" s="61"/>
      <c r="D305" s="61"/>
      <c r="E305" s="61"/>
      <c r="F305" s="61"/>
      <c r="G305" s="61" t="str">
        <f>IFERROR(__xludf.DUMMYFUNCTION("""COMPUTED_VALUE"""),"")</f>
        <v/>
      </c>
      <c r="H305" s="62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ht="15.75" customHeight="1">
      <c r="A306" s="61"/>
      <c r="B306" s="61"/>
      <c r="C306" s="61"/>
      <c r="D306" s="61"/>
      <c r="E306" s="61"/>
      <c r="F306" s="61"/>
      <c r="G306" s="61" t="str">
        <f>IFERROR(__xludf.DUMMYFUNCTION("""COMPUTED_VALUE"""),"")</f>
        <v/>
      </c>
      <c r="H306" s="62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ht="15.75" customHeight="1">
      <c r="A307" s="61"/>
      <c r="B307" s="61"/>
      <c r="C307" s="61"/>
      <c r="D307" s="61"/>
      <c r="E307" s="61"/>
      <c r="F307" s="61"/>
      <c r="G307" s="61" t="str">
        <f>IFERROR(__xludf.DUMMYFUNCTION("""COMPUTED_VALUE"""),"")</f>
        <v/>
      </c>
      <c r="H307" s="62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ht="15.75" customHeight="1">
      <c r="A308" s="61"/>
      <c r="B308" s="61"/>
      <c r="C308" s="61"/>
      <c r="D308" s="61"/>
      <c r="E308" s="61"/>
      <c r="F308" s="61"/>
      <c r="G308" s="61" t="str">
        <f>IFERROR(__xludf.DUMMYFUNCTION("""COMPUTED_VALUE"""),"")</f>
        <v/>
      </c>
      <c r="H308" s="62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ht="15.75" customHeight="1">
      <c r="A309" s="61"/>
      <c r="B309" s="61"/>
      <c r="C309" s="61"/>
      <c r="D309" s="61"/>
      <c r="E309" s="61"/>
      <c r="F309" s="61"/>
      <c r="G309" s="61" t="str">
        <f>IFERROR(__xludf.DUMMYFUNCTION("""COMPUTED_VALUE"""),"")</f>
        <v/>
      </c>
      <c r="H309" s="62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ht="15.75" customHeight="1">
      <c r="A310" s="61"/>
      <c r="B310" s="61"/>
      <c r="C310" s="61"/>
      <c r="D310" s="61"/>
      <c r="E310" s="61"/>
      <c r="F310" s="61"/>
      <c r="G310" s="61" t="str">
        <f>IFERROR(__xludf.DUMMYFUNCTION("""COMPUTED_VALUE"""),"")</f>
        <v/>
      </c>
      <c r="H310" s="62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ht="15.75" customHeight="1">
      <c r="A311" s="61"/>
      <c r="B311" s="61"/>
      <c r="C311" s="61"/>
      <c r="D311" s="61"/>
      <c r="E311" s="61"/>
      <c r="F311" s="61"/>
      <c r="G311" s="61" t="str">
        <f>IFERROR(__xludf.DUMMYFUNCTION("""COMPUTED_VALUE"""),"")</f>
        <v/>
      </c>
      <c r="H311" s="62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ht="15.75" customHeight="1">
      <c r="A312" s="61"/>
      <c r="B312" s="61"/>
      <c r="C312" s="61"/>
      <c r="D312" s="61"/>
      <c r="E312" s="61"/>
      <c r="F312" s="61"/>
      <c r="G312" s="61" t="str">
        <f>IFERROR(__xludf.DUMMYFUNCTION("""COMPUTED_VALUE"""),"")</f>
        <v/>
      </c>
      <c r="H312" s="62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ht="15.75" customHeight="1">
      <c r="A313" s="61"/>
      <c r="B313" s="61"/>
      <c r="C313" s="61"/>
      <c r="D313" s="61"/>
      <c r="E313" s="61"/>
      <c r="F313" s="61"/>
      <c r="G313" s="61" t="str">
        <f>IFERROR(__xludf.DUMMYFUNCTION("""COMPUTED_VALUE"""),"")</f>
        <v/>
      </c>
      <c r="H313" s="62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ht="15.75" customHeight="1">
      <c r="A314" s="61"/>
      <c r="B314" s="61"/>
      <c r="C314" s="61"/>
      <c r="D314" s="61"/>
      <c r="E314" s="61"/>
      <c r="F314" s="61"/>
      <c r="G314" s="61" t="str">
        <f>IFERROR(__xludf.DUMMYFUNCTION("""COMPUTED_VALUE"""),"")</f>
        <v/>
      </c>
      <c r="H314" s="62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ht="15.75" customHeight="1">
      <c r="A315" s="61"/>
      <c r="B315" s="61"/>
      <c r="C315" s="61"/>
      <c r="D315" s="61"/>
      <c r="E315" s="61"/>
      <c r="F315" s="61"/>
      <c r="G315" s="61" t="str">
        <f>IFERROR(__xludf.DUMMYFUNCTION("""COMPUTED_VALUE"""),"")</f>
        <v/>
      </c>
      <c r="H315" s="62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ht="15.75" customHeight="1">
      <c r="A316" s="61"/>
      <c r="B316" s="61"/>
      <c r="C316" s="61"/>
      <c r="D316" s="61"/>
      <c r="E316" s="61"/>
      <c r="F316" s="61"/>
      <c r="G316" s="61" t="str">
        <f>IFERROR(__xludf.DUMMYFUNCTION("""COMPUTED_VALUE"""),"")</f>
        <v/>
      </c>
      <c r="H316" s="62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ht="15.75" customHeight="1">
      <c r="A317" s="61"/>
      <c r="B317" s="61"/>
      <c r="C317" s="61"/>
      <c r="D317" s="61"/>
      <c r="E317" s="61"/>
      <c r="F317" s="61"/>
      <c r="G317" s="61" t="str">
        <f>IFERROR(__xludf.DUMMYFUNCTION("""COMPUTED_VALUE"""),"")</f>
        <v/>
      </c>
      <c r="H317" s="62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ht="15.75" customHeight="1">
      <c r="A318" s="61"/>
      <c r="B318" s="61"/>
      <c r="C318" s="61"/>
      <c r="D318" s="61"/>
      <c r="E318" s="61"/>
      <c r="F318" s="61"/>
      <c r="G318" s="61" t="str">
        <f>IFERROR(__xludf.DUMMYFUNCTION("""COMPUTED_VALUE"""),"")</f>
        <v/>
      </c>
      <c r="H318" s="62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ht="15.75" customHeight="1">
      <c r="A319" s="61"/>
      <c r="B319" s="61"/>
      <c r="C319" s="61"/>
      <c r="D319" s="61"/>
      <c r="E319" s="61"/>
      <c r="F319" s="61"/>
      <c r="G319" s="61" t="str">
        <f>IFERROR(__xludf.DUMMYFUNCTION("""COMPUTED_VALUE"""),"")</f>
        <v/>
      </c>
      <c r="H319" s="62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ht="15.75" customHeight="1">
      <c r="A320" s="61"/>
      <c r="B320" s="61"/>
      <c r="C320" s="61"/>
      <c r="D320" s="61"/>
      <c r="E320" s="61"/>
      <c r="F320" s="61"/>
      <c r="G320" s="61" t="str">
        <f>IFERROR(__xludf.DUMMYFUNCTION("""COMPUTED_VALUE"""),"")</f>
        <v/>
      </c>
      <c r="H320" s="62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ht="15.75" customHeight="1">
      <c r="A321" s="61"/>
      <c r="B321" s="61"/>
      <c r="C321" s="61"/>
      <c r="D321" s="61"/>
      <c r="E321" s="61"/>
      <c r="F321" s="61"/>
      <c r="G321" s="61" t="str">
        <f>IFERROR(__xludf.DUMMYFUNCTION("""COMPUTED_VALUE"""),"")</f>
        <v/>
      </c>
      <c r="H321" s="62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ht="15.75" customHeight="1">
      <c r="A322" s="61"/>
      <c r="B322" s="61"/>
      <c r="C322" s="61"/>
      <c r="D322" s="61"/>
      <c r="E322" s="61"/>
      <c r="F322" s="61"/>
      <c r="G322" s="61" t="str">
        <f>IFERROR(__xludf.DUMMYFUNCTION("""COMPUTED_VALUE"""),"")</f>
        <v/>
      </c>
      <c r="H322" s="62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ht="15.75" customHeight="1">
      <c r="A323" s="61"/>
      <c r="B323" s="61"/>
      <c r="C323" s="61"/>
      <c r="D323" s="61"/>
      <c r="E323" s="61"/>
      <c r="F323" s="61"/>
      <c r="G323" s="61" t="str">
        <f>IFERROR(__xludf.DUMMYFUNCTION("""COMPUTED_VALUE"""),"")</f>
        <v/>
      </c>
      <c r="H323" s="62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ht="15.75" customHeight="1">
      <c r="A324" s="61"/>
      <c r="B324" s="61"/>
      <c r="C324" s="61"/>
      <c r="D324" s="61"/>
      <c r="E324" s="61"/>
      <c r="F324" s="61"/>
      <c r="G324" s="61" t="str">
        <f>IFERROR(__xludf.DUMMYFUNCTION("""COMPUTED_VALUE"""),"")</f>
        <v/>
      </c>
      <c r="H324" s="62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ht="15.75" customHeight="1">
      <c r="A325" s="61"/>
      <c r="B325" s="61"/>
      <c r="C325" s="61"/>
      <c r="D325" s="61"/>
      <c r="E325" s="61"/>
      <c r="F325" s="61"/>
      <c r="G325" s="61" t="str">
        <f>IFERROR(__xludf.DUMMYFUNCTION("""COMPUTED_VALUE"""),"")</f>
        <v/>
      </c>
      <c r="H325" s="62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ht="15.75" customHeight="1">
      <c r="A326" s="61"/>
      <c r="B326" s="61"/>
      <c r="C326" s="61"/>
      <c r="D326" s="61"/>
      <c r="E326" s="61"/>
      <c r="F326" s="61"/>
      <c r="G326" s="61" t="str">
        <f>IFERROR(__xludf.DUMMYFUNCTION("""COMPUTED_VALUE"""),"")</f>
        <v/>
      </c>
      <c r="H326" s="62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ht="15.75" customHeight="1">
      <c r="A327" s="61"/>
      <c r="B327" s="61"/>
      <c r="C327" s="61"/>
      <c r="D327" s="61"/>
      <c r="E327" s="61"/>
      <c r="F327" s="61"/>
      <c r="G327" s="61" t="str">
        <f>IFERROR(__xludf.DUMMYFUNCTION("""COMPUTED_VALUE"""),"")</f>
        <v/>
      </c>
      <c r="H327" s="62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ht="15.75" customHeight="1">
      <c r="A328" s="61"/>
      <c r="B328" s="61"/>
      <c r="C328" s="61"/>
      <c r="D328" s="61"/>
      <c r="E328" s="61"/>
      <c r="F328" s="61"/>
      <c r="G328" s="61" t="str">
        <f>IFERROR(__xludf.DUMMYFUNCTION("""COMPUTED_VALUE"""),"")</f>
        <v/>
      </c>
      <c r="H328" s="62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ht="15.75" customHeight="1">
      <c r="A329" s="61"/>
      <c r="B329" s="61"/>
      <c r="C329" s="61"/>
      <c r="D329" s="61"/>
      <c r="E329" s="61"/>
      <c r="F329" s="61"/>
      <c r="G329" s="61" t="str">
        <f>IFERROR(__xludf.DUMMYFUNCTION("""COMPUTED_VALUE"""),"")</f>
        <v/>
      </c>
      <c r="H329" s="62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ht="15.75" customHeight="1">
      <c r="A330" s="61"/>
      <c r="B330" s="61"/>
      <c r="C330" s="61"/>
      <c r="D330" s="61"/>
      <c r="E330" s="61"/>
      <c r="F330" s="61"/>
      <c r="G330" s="61" t="str">
        <f>IFERROR(__xludf.DUMMYFUNCTION("""COMPUTED_VALUE"""),"")</f>
        <v/>
      </c>
      <c r="H330" s="62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ht="15.75" customHeight="1">
      <c r="A331" s="61"/>
      <c r="B331" s="61"/>
      <c r="C331" s="61"/>
      <c r="D331" s="61"/>
      <c r="E331" s="61"/>
      <c r="F331" s="61"/>
      <c r="G331" s="61" t="str">
        <f>IFERROR(__xludf.DUMMYFUNCTION("""COMPUTED_VALUE"""),"")</f>
        <v/>
      </c>
      <c r="H331" s="62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ht="15.75" customHeight="1">
      <c r="A332" s="61"/>
      <c r="B332" s="61"/>
      <c r="C332" s="61"/>
      <c r="D332" s="61"/>
      <c r="E332" s="61"/>
      <c r="F332" s="61"/>
      <c r="G332" s="61" t="str">
        <f>IFERROR(__xludf.DUMMYFUNCTION("""COMPUTED_VALUE"""),"")</f>
        <v/>
      </c>
      <c r="H332" s="62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ht="15.75" customHeight="1">
      <c r="A333" s="61"/>
      <c r="B333" s="61"/>
      <c r="C333" s="61"/>
      <c r="D333" s="61"/>
      <c r="E333" s="61"/>
      <c r="F333" s="61"/>
      <c r="G333" s="61" t="str">
        <f>IFERROR(__xludf.DUMMYFUNCTION("""COMPUTED_VALUE"""),"")</f>
        <v/>
      </c>
      <c r="H333" s="62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ht="15.75" customHeight="1">
      <c r="A334" s="61"/>
      <c r="B334" s="61"/>
      <c r="C334" s="61"/>
      <c r="D334" s="61"/>
      <c r="E334" s="61"/>
      <c r="F334" s="61"/>
      <c r="G334" s="61" t="str">
        <f>IFERROR(__xludf.DUMMYFUNCTION("""COMPUTED_VALUE"""),"")</f>
        <v/>
      </c>
      <c r="H334" s="62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ht="15.75" customHeight="1">
      <c r="A335" s="61"/>
      <c r="B335" s="61"/>
      <c r="C335" s="61"/>
      <c r="D335" s="61"/>
      <c r="E335" s="61"/>
      <c r="F335" s="61"/>
      <c r="G335" s="61" t="str">
        <f>IFERROR(__xludf.DUMMYFUNCTION("""COMPUTED_VALUE"""),"")</f>
        <v/>
      </c>
      <c r="H335" s="62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ht="15.75" customHeight="1">
      <c r="A336" s="61"/>
      <c r="B336" s="61"/>
      <c r="C336" s="61"/>
      <c r="D336" s="61"/>
      <c r="E336" s="61"/>
      <c r="F336" s="61"/>
      <c r="G336" s="61" t="str">
        <f>IFERROR(__xludf.DUMMYFUNCTION("""COMPUTED_VALUE"""),"")</f>
        <v/>
      </c>
      <c r="H336" s="62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ht="15.75" customHeight="1">
      <c r="A337" s="61"/>
      <c r="B337" s="61"/>
      <c r="C337" s="61"/>
      <c r="D337" s="61"/>
      <c r="E337" s="61"/>
      <c r="F337" s="61"/>
      <c r="G337" s="61" t="str">
        <f>IFERROR(__xludf.DUMMYFUNCTION("""COMPUTED_VALUE"""),"")</f>
        <v/>
      </c>
      <c r="H337" s="62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ht="15.75" customHeight="1">
      <c r="A338" s="61"/>
      <c r="B338" s="61"/>
      <c r="C338" s="61"/>
      <c r="D338" s="61"/>
      <c r="E338" s="61"/>
      <c r="F338" s="61"/>
      <c r="G338" s="61" t="str">
        <f>IFERROR(__xludf.DUMMYFUNCTION("""COMPUTED_VALUE"""),"")</f>
        <v/>
      </c>
      <c r="H338" s="62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ht="15.75" customHeight="1">
      <c r="A339" s="61"/>
      <c r="B339" s="61"/>
      <c r="C339" s="61"/>
      <c r="D339" s="61"/>
      <c r="E339" s="61"/>
      <c r="F339" s="61"/>
      <c r="G339" s="61" t="str">
        <f>IFERROR(__xludf.DUMMYFUNCTION("""COMPUTED_VALUE"""),"")</f>
        <v/>
      </c>
      <c r="H339" s="62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ht="15.75" customHeight="1">
      <c r="A340" s="61"/>
      <c r="B340" s="61"/>
      <c r="C340" s="61"/>
      <c r="D340" s="61"/>
      <c r="E340" s="61"/>
      <c r="F340" s="61"/>
      <c r="G340" s="61" t="str">
        <f>IFERROR(__xludf.DUMMYFUNCTION("""COMPUTED_VALUE"""),"")</f>
        <v/>
      </c>
      <c r="H340" s="62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ht="15.75" customHeight="1">
      <c r="A341" s="61"/>
      <c r="B341" s="61"/>
      <c r="C341" s="61"/>
      <c r="D341" s="61"/>
      <c r="E341" s="61"/>
      <c r="F341" s="61"/>
      <c r="G341" s="61" t="str">
        <f>IFERROR(__xludf.DUMMYFUNCTION("""COMPUTED_VALUE"""),"")</f>
        <v/>
      </c>
      <c r="H341" s="62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ht="15.75" customHeight="1">
      <c r="A342" s="61"/>
      <c r="B342" s="61"/>
      <c r="C342" s="61"/>
      <c r="D342" s="61"/>
      <c r="E342" s="61"/>
      <c r="F342" s="61"/>
      <c r="G342" s="61" t="str">
        <f>IFERROR(__xludf.DUMMYFUNCTION("""COMPUTED_VALUE"""),"")</f>
        <v/>
      </c>
      <c r="H342" s="62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ht="15.75" customHeight="1">
      <c r="A343" s="61"/>
      <c r="B343" s="61"/>
      <c r="C343" s="61"/>
      <c r="D343" s="61"/>
      <c r="E343" s="61"/>
      <c r="F343" s="61"/>
      <c r="G343" s="61" t="str">
        <f>IFERROR(__xludf.DUMMYFUNCTION("""COMPUTED_VALUE"""),"")</f>
        <v/>
      </c>
      <c r="H343" s="62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ht="15.75" customHeight="1">
      <c r="A344" s="61"/>
      <c r="B344" s="61"/>
      <c r="C344" s="61"/>
      <c r="D344" s="61"/>
      <c r="E344" s="61"/>
      <c r="F344" s="61"/>
      <c r="G344" s="61" t="str">
        <f>IFERROR(__xludf.DUMMYFUNCTION("""COMPUTED_VALUE"""),"")</f>
        <v/>
      </c>
      <c r="H344" s="62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ht="15.75" customHeight="1">
      <c r="A345" s="61"/>
      <c r="B345" s="61"/>
      <c r="C345" s="61"/>
      <c r="D345" s="61"/>
      <c r="E345" s="61"/>
      <c r="F345" s="61"/>
      <c r="G345" s="61" t="str">
        <f>IFERROR(__xludf.DUMMYFUNCTION("""COMPUTED_VALUE"""),"")</f>
        <v/>
      </c>
      <c r="H345" s="62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ht="15.75" customHeight="1">
      <c r="A346" s="61"/>
      <c r="B346" s="61"/>
      <c r="C346" s="61"/>
      <c r="D346" s="61"/>
      <c r="E346" s="61"/>
      <c r="F346" s="61"/>
      <c r="G346" s="61" t="str">
        <f>IFERROR(__xludf.DUMMYFUNCTION("""COMPUTED_VALUE"""),"")</f>
        <v/>
      </c>
      <c r="H346" s="62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ht="15.75" customHeight="1">
      <c r="A347" s="61"/>
      <c r="B347" s="61"/>
      <c r="C347" s="61"/>
      <c r="D347" s="61"/>
      <c r="E347" s="61"/>
      <c r="F347" s="61"/>
      <c r="G347" s="61" t="str">
        <f>IFERROR(__xludf.DUMMYFUNCTION("""COMPUTED_VALUE"""),"")</f>
        <v/>
      </c>
      <c r="H347" s="62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ht="15.75" customHeight="1">
      <c r="A348" s="61"/>
      <c r="B348" s="61"/>
      <c r="C348" s="61"/>
      <c r="D348" s="61"/>
      <c r="E348" s="61"/>
      <c r="F348" s="61"/>
      <c r="G348" s="61" t="str">
        <f>IFERROR(__xludf.DUMMYFUNCTION("""COMPUTED_VALUE"""),"")</f>
        <v/>
      </c>
      <c r="H348" s="62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ht="15.75" customHeight="1">
      <c r="A349" s="61"/>
      <c r="B349" s="61"/>
      <c r="C349" s="61"/>
      <c r="D349" s="61"/>
      <c r="E349" s="61"/>
      <c r="F349" s="61"/>
      <c r="G349" s="61" t="str">
        <f>IFERROR(__xludf.DUMMYFUNCTION("""COMPUTED_VALUE"""),"")</f>
        <v/>
      </c>
      <c r="H349" s="62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ht="15.75" customHeight="1">
      <c r="A350" s="61"/>
      <c r="B350" s="61"/>
      <c r="C350" s="61"/>
      <c r="D350" s="61"/>
      <c r="E350" s="61"/>
      <c r="F350" s="61"/>
      <c r="G350" s="61" t="str">
        <f>IFERROR(__xludf.DUMMYFUNCTION("""COMPUTED_VALUE"""),"")</f>
        <v/>
      </c>
      <c r="H350" s="62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ht="15.75" customHeight="1">
      <c r="A351" s="61"/>
      <c r="B351" s="61"/>
      <c r="C351" s="61"/>
      <c r="D351" s="61"/>
      <c r="E351" s="61"/>
      <c r="F351" s="61"/>
      <c r="G351" s="61" t="str">
        <f>IFERROR(__xludf.DUMMYFUNCTION("""COMPUTED_VALUE"""),"")</f>
        <v/>
      </c>
      <c r="H351" s="62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ht="15.75" customHeight="1">
      <c r="A352" s="61"/>
      <c r="B352" s="61"/>
      <c r="C352" s="61"/>
      <c r="D352" s="61"/>
      <c r="E352" s="61"/>
      <c r="F352" s="61"/>
      <c r="G352" s="61" t="str">
        <f>IFERROR(__xludf.DUMMYFUNCTION("""COMPUTED_VALUE"""),"")</f>
        <v/>
      </c>
      <c r="H352" s="62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ht="15.75" customHeight="1">
      <c r="A353" s="61"/>
      <c r="B353" s="61"/>
      <c r="C353" s="61"/>
      <c r="D353" s="61"/>
      <c r="E353" s="61"/>
      <c r="F353" s="61"/>
      <c r="G353" s="61" t="str">
        <f>IFERROR(__xludf.DUMMYFUNCTION("""COMPUTED_VALUE"""),"")</f>
        <v/>
      </c>
      <c r="H353" s="62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ht="15.75" customHeight="1">
      <c r="A354" s="61"/>
      <c r="B354" s="61"/>
      <c r="C354" s="61"/>
      <c r="D354" s="61"/>
      <c r="E354" s="61"/>
      <c r="F354" s="61"/>
      <c r="G354" s="61" t="str">
        <f>IFERROR(__xludf.DUMMYFUNCTION("""COMPUTED_VALUE"""),"")</f>
        <v/>
      </c>
      <c r="H354" s="62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ht="15.75" customHeight="1">
      <c r="A355" s="61"/>
      <c r="B355" s="61"/>
      <c r="C355" s="61"/>
      <c r="D355" s="61"/>
      <c r="E355" s="61"/>
      <c r="F355" s="61"/>
      <c r="G355" s="61" t="str">
        <f>IFERROR(__xludf.DUMMYFUNCTION("""COMPUTED_VALUE"""),"")</f>
        <v/>
      </c>
      <c r="H355" s="62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ht="15.75" customHeight="1">
      <c r="A356" s="61"/>
      <c r="B356" s="61"/>
      <c r="C356" s="61"/>
      <c r="D356" s="61"/>
      <c r="E356" s="61"/>
      <c r="F356" s="61"/>
      <c r="G356" s="61" t="str">
        <f>IFERROR(__xludf.DUMMYFUNCTION("""COMPUTED_VALUE"""),"")</f>
        <v/>
      </c>
      <c r="H356" s="62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ht="15.75" customHeight="1">
      <c r="A357" s="61"/>
      <c r="B357" s="61"/>
      <c r="C357" s="61"/>
      <c r="D357" s="61"/>
      <c r="E357" s="61"/>
      <c r="F357" s="61"/>
      <c r="G357" s="61" t="str">
        <f>IFERROR(__xludf.DUMMYFUNCTION("""COMPUTED_VALUE"""),"")</f>
        <v/>
      </c>
      <c r="H357" s="62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ht="15.75" customHeight="1">
      <c r="A358" s="61"/>
      <c r="B358" s="61"/>
      <c r="C358" s="61"/>
      <c r="D358" s="61"/>
      <c r="E358" s="61"/>
      <c r="F358" s="61"/>
      <c r="G358" s="61" t="str">
        <f>IFERROR(__xludf.DUMMYFUNCTION("""COMPUTED_VALUE"""),"")</f>
        <v/>
      </c>
      <c r="H358" s="62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ht="15.75" customHeight="1">
      <c r="A359" s="61"/>
      <c r="B359" s="61"/>
      <c r="C359" s="61"/>
      <c r="D359" s="61"/>
      <c r="E359" s="61"/>
      <c r="F359" s="61"/>
      <c r="G359" s="61" t="str">
        <f>IFERROR(__xludf.DUMMYFUNCTION("""COMPUTED_VALUE"""),"")</f>
        <v/>
      </c>
      <c r="H359" s="62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ht="15.75" customHeight="1">
      <c r="A360" s="61"/>
      <c r="B360" s="61"/>
      <c r="C360" s="61"/>
      <c r="D360" s="61"/>
      <c r="E360" s="61"/>
      <c r="F360" s="61"/>
      <c r="G360" s="61" t="str">
        <f>IFERROR(__xludf.DUMMYFUNCTION("""COMPUTED_VALUE"""),"")</f>
        <v/>
      </c>
      <c r="H360" s="62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ht="15.75" customHeight="1">
      <c r="A361" s="61"/>
      <c r="B361" s="61"/>
      <c r="C361" s="61"/>
      <c r="D361" s="61"/>
      <c r="E361" s="61"/>
      <c r="F361" s="61"/>
      <c r="G361" s="61" t="str">
        <f>IFERROR(__xludf.DUMMYFUNCTION("""COMPUTED_VALUE"""),"")</f>
        <v/>
      </c>
      <c r="H361" s="62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ht="15.75" customHeight="1">
      <c r="A362" s="61"/>
      <c r="B362" s="61"/>
      <c r="C362" s="61"/>
      <c r="D362" s="61"/>
      <c r="E362" s="61"/>
      <c r="F362" s="61"/>
      <c r="G362" s="61" t="str">
        <f>IFERROR(__xludf.DUMMYFUNCTION("""COMPUTED_VALUE"""),"")</f>
        <v/>
      </c>
      <c r="H362" s="62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ht="15.75" customHeight="1">
      <c r="A363" s="61"/>
      <c r="B363" s="61"/>
      <c r="C363" s="61"/>
      <c r="D363" s="61"/>
      <c r="E363" s="61"/>
      <c r="F363" s="61"/>
      <c r="G363" s="61" t="str">
        <f>IFERROR(__xludf.DUMMYFUNCTION("""COMPUTED_VALUE"""),"")</f>
        <v/>
      </c>
      <c r="H363" s="62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ht="15.75" customHeight="1">
      <c r="A364" s="61"/>
      <c r="B364" s="61"/>
      <c r="C364" s="61"/>
      <c r="D364" s="61"/>
      <c r="E364" s="61"/>
      <c r="F364" s="61"/>
      <c r="G364" s="61" t="str">
        <f>IFERROR(__xludf.DUMMYFUNCTION("""COMPUTED_VALUE"""),"")</f>
        <v/>
      </c>
      <c r="H364" s="62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ht="15.75" customHeight="1">
      <c r="A365" s="61"/>
      <c r="B365" s="61"/>
      <c r="C365" s="61"/>
      <c r="D365" s="61"/>
      <c r="E365" s="61"/>
      <c r="F365" s="61"/>
      <c r="G365" s="61" t="str">
        <f>IFERROR(__xludf.DUMMYFUNCTION("""COMPUTED_VALUE"""),"")</f>
        <v/>
      </c>
      <c r="H365" s="62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ht="15.75" customHeight="1">
      <c r="A366" s="61"/>
      <c r="B366" s="61"/>
      <c r="C366" s="61"/>
      <c r="D366" s="61"/>
      <c r="E366" s="61"/>
      <c r="F366" s="61"/>
      <c r="G366" s="61" t="str">
        <f>IFERROR(__xludf.DUMMYFUNCTION("""COMPUTED_VALUE"""),"")</f>
        <v/>
      </c>
      <c r="H366" s="62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ht="15.75" customHeight="1">
      <c r="A367" s="61"/>
      <c r="B367" s="61"/>
      <c r="C367" s="61"/>
      <c r="D367" s="61"/>
      <c r="E367" s="61"/>
      <c r="F367" s="61"/>
      <c r="G367" s="61" t="str">
        <f>IFERROR(__xludf.DUMMYFUNCTION("""COMPUTED_VALUE"""),"")</f>
        <v/>
      </c>
      <c r="H367" s="62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ht="15.75" customHeight="1">
      <c r="A368" s="61"/>
      <c r="B368" s="61"/>
      <c r="C368" s="61"/>
      <c r="D368" s="61"/>
      <c r="E368" s="61"/>
      <c r="F368" s="61"/>
      <c r="G368" s="61" t="str">
        <f>IFERROR(__xludf.DUMMYFUNCTION("""COMPUTED_VALUE"""),"")</f>
        <v/>
      </c>
      <c r="H368" s="62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ht="15.75" customHeight="1">
      <c r="A369" s="61"/>
      <c r="B369" s="61"/>
      <c r="C369" s="61"/>
      <c r="D369" s="61"/>
      <c r="E369" s="61"/>
      <c r="F369" s="61"/>
      <c r="G369" s="61" t="str">
        <f>IFERROR(__xludf.DUMMYFUNCTION("""COMPUTED_VALUE"""),"")</f>
        <v/>
      </c>
      <c r="H369" s="62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ht="15.75" customHeight="1">
      <c r="A370" s="61"/>
      <c r="B370" s="61"/>
      <c r="C370" s="61"/>
      <c r="D370" s="61"/>
      <c r="E370" s="61"/>
      <c r="F370" s="61"/>
      <c r="G370" s="61" t="str">
        <f>IFERROR(__xludf.DUMMYFUNCTION("""COMPUTED_VALUE"""),"")</f>
        <v/>
      </c>
      <c r="H370" s="62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ht="15.75" customHeight="1">
      <c r="A371" s="61"/>
      <c r="B371" s="61"/>
      <c r="C371" s="61"/>
      <c r="D371" s="61"/>
      <c r="E371" s="61"/>
      <c r="F371" s="61"/>
      <c r="G371" s="61" t="str">
        <f>IFERROR(__xludf.DUMMYFUNCTION("""COMPUTED_VALUE"""),"")</f>
        <v/>
      </c>
      <c r="H371" s="62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ht="15.75" customHeight="1">
      <c r="A372" s="61"/>
      <c r="B372" s="61"/>
      <c r="C372" s="61"/>
      <c r="D372" s="61"/>
      <c r="E372" s="61"/>
      <c r="F372" s="61"/>
      <c r="G372" s="61" t="str">
        <f>IFERROR(__xludf.DUMMYFUNCTION("""COMPUTED_VALUE"""),"")</f>
        <v/>
      </c>
      <c r="H372" s="62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ht="15.75" customHeight="1">
      <c r="A373" s="61"/>
      <c r="B373" s="61"/>
      <c r="C373" s="61"/>
      <c r="D373" s="61"/>
      <c r="E373" s="61"/>
      <c r="F373" s="61"/>
      <c r="G373" s="61" t="str">
        <f>IFERROR(__xludf.DUMMYFUNCTION("""COMPUTED_VALUE"""),"")</f>
        <v/>
      </c>
      <c r="H373" s="62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ht="15.75" customHeight="1">
      <c r="A374" s="61"/>
      <c r="B374" s="61"/>
      <c r="C374" s="61"/>
      <c r="D374" s="61"/>
      <c r="E374" s="61"/>
      <c r="F374" s="61"/>
      <c r="G374" s="61" t="str">
        <f>IFERROR(__xludf.DUMMYFUNCTION("""COMPUTED_VALUE"""),"")</f>
        <v/>
      </c>
      <c r="H374" s="62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ht="15.75" customHeight="1">
      <c r="A375" s="61"/>
      <c r="B375" s="61"/>
      <c r="C375" s="61"/>
      <c r="D375" s="61"/>
      <c r="E375" s="61"/>
      <c r="F375" s="61"/>
      <c r="G375" s="61" t="str">
        <f>IFERROR(__xludf.DUMMYFUNCTION("""COMPUTED_VALUE"""),"")</f>
        <v/>
      </c>
      <c r="H375" s="62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ht="15.75" customHeight="1">
      <c r="A376" s="61"/>
      <c r="B376" s="61"/>
      <c r="C376" s="61"/>
      <c r="D376" s="61"/>
      <c r="E376" s="61"/>
      <c r="F376" s="61"/>
      <c r="G376" s="61" t="str">
        <f>IFERROR(__xludf.DUMMYFUNCTION("""COMPUTED_VALUE"""),"")</f>
        <v/>
      </c>
      <c r="H376" s="62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ht="15.75" customHeight="1">
      <c r="A377" s="61"/>
      <c r="B377" s="61"/>
      <c r="C377" s="61"/>
      <c r="D377" s="61"/>
      <c r="E377" s="61"/>
      <c r="F377" s="61"/>
      <c r="G377" s="61" t="str">
        <f>IFERROR(__xludf.DUMMYFUNCTION("""COMPUTED_VALUE"""),"")</f>
        <v/>
      </c>
      <c r="H377" s="62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ht="15.75" customHeight="1">
      <c r="A378" s="61"/>
      <c r="B378" s="61"/>
      <c r="C378" s="61"/>
      <c r="D378" s="61"/>
      <c r="E378" s="61"/>
      <c r="F378" s="61"/>
      <c r="G378" s="61" t="str">
        <f>IFERROR(__xludf.DUMMYFUNCTION("""COMPUTED_VALUE"""),"")</f>
        <v/>
      </c>
      <c r="H378" s="62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ht="15.75" customHeight="1">
      <c r="A379" s="61"/>
      <c r="B379" s="61"/>
      <c r="C379" s="61"/>
      <c r="D379" s="61"/>
      <c r="E379" s="61"/>
      <c r="F379" s="61"/>
      <c r="G379" s="61" t="str">
        <f>IFERROR(__xludf.DUMMYFUNCTION("""COMPUTED_VALUE"""),"")</f>
        <v/>
      </c>
      <c r="H379" s="62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ht="15.75" customHeight="1">
      <c r="A380" s="61"/>
      <c r="B380" s="61"/>
      <c r="C380" s="61"/>
      <c r="D380" s="61"/>
      <c r="E380" s="61"/>
      <c r="F380" s="61"/>
      <c r="G380" s="61" t="str">
        <f>IFERROR(__xludf.DUMMYFUNCTION("""COMPUTED_VALUE"""),"")</f>
        <v/>
      </c>
      <c r="H380" s="62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ht="15.75" customHeight="1">
      <c r="A381" s="61"/>
      <c r="B381" s="61"/>
      <c r="C381" s="61"/>
      <c r="D381" s="61"/>
      <c r="E381" s="61"/>
      <c r="F381" s="61"/>
      <c r="G381" s="61" t="str">
        <f>IFERROR(__xludf.DUMMYFUNCTION("""COMPUTED_VALUE"""),"")</f>
        <v/>
      </c>
      <c r="H381" s="62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ht="15.75" customHeight="1">
      <c r="A382" s="61"/>
      <c r="B382" s="61"/>
      <c r="C382" s="61"/>
      <c r="D382" s="61"/>
      <c r="E382" s="61"/>
      <c r="F382" s="61"/>
      <c r="G382" s="61" t="str">
        <f>IFERROR(__xludf.DUMMYFUNCTION("""COMPUTED_VALUE"""),"")</f>
        <v/>
      </c>
      <c r="H382" s="62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ht="15.75" customHeight="1">
      <c r="A383" s="61"/>
      <c r="B383" s="61"/>
      <c r="C383" s="61"/>
      <c r="D383" s="61"/>
      <c r="E383" s="61"/>
      <c r="F383" s="61"/>
      <c r="G383" s="61" t="str">
        <f>IFERROR(__xludf.DUMMYFUNCTION("""COMPUTED_VALUE"""),"")</f>
        <v/>
      </c>
      <c r="H383" s="62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ht="15.75" customHeight="1">
      <c r="A384" s="61"/>
      <c r="B384" s="61"/>
      <c r="C384" s="61"/>
      <c r="D384" s="61"/>
      <c r="E384" s="61"/>
      <c r="F384" s="61"/>
      <c r="G384" s="61" t="str">
        <f>IFERROR(__xludf.DUMMYFUNCTION("""COMPUTED_VALUE"""),"")</f>
        <v/>
      </c>
      <c r="H384" s="62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ht="15.75" customHeight="1">
      <c r="A385" s="61"/>
      <c r="B385" s="61"/>
      <c r="C385" s="61"/>
      <c r="D385" s="61"/>
      <c r="E385" s="61"/>
      <c r="F385" s="61"/>
      <c r="G385" s="61" t="str">
        <f>IFERROR(__xludf.DUMMYFUNCTION("""COMPUTED_VALUE"""),"")</f>
        <v/>
      </c>
      <c r="H385" s="62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ht="15.75" customHeight="1">
      <c r="A386" s="61"/>
      <c r="B386" s="61"/>
      <c r="C386" s="61"/>
      <c r="D386" s="61"/>
      <c r="E386" s="61"/>
      <c r="F386" s="61"/>
      <c r="G386" s="61" t="str">
        <f>IFERROR(__xludf.DUMMYFUNCTION("""COMPUTED_VALUE"""),"")</f>
        <v/>
      </c>
      <c r="H386" s="62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ht="15.75" customHeight="1">
      <c r="A387" s="61"/>
      <c r="B387" s="61"/>
      <c r="C387" s="61"/>
      <c r="D387" s="61"/>
      <c r="E387" s="61"/>
      <c r="F387" s="61"/>
      <c r="G387" s="61" t="str">
        <f>IFERROR(__xludf.DUMMYFUNCTION("""COMPUTED_VALUE"""),"")</f>
        <v/>
      </c>
      <c r="H387" s="62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ht="15.75" customHeight="1">
      <c r="A388" s="61"/>
      <c r="B388" s="61"/>
      <c r="C388" s="61"/>
      <c r="D388" s="61"/>
      <c r="E388" s="61"/>
      <c r="F388" s="61"/>
      <c r="G388" s="61" t="str">
        <f>IFERROR(__xludf.DUMMYFUNCTION("""COMPUTED_VALUE"""),"")</f>
        <v/>
      </c>
      <c r="H388" s="62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ht="15.75" customHeight="1">
      <c r="A389" s="61"/>
      <c r="B389" s="61"/>
      <c r="C389" s="61"/>
      <c r="D389" s="61"/>
      <c r="E389" s="61"/>
      <c r="F389" s="61"/>
      <c r="G389" s="61" t="str">
        <f>IFERROR(__xludf.DUMMYFUNCTION("""COMPUTED_VALUE"""),"")</f>
        <v/>
      </c>
      <c r="H389" s="62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ht="15.75" customHeight="1">
      <c r="A390" s="61"/>
      <c r="B390" s="61"/>
      <c r="C390" s="61"/>
      <c r="D390" s="61"/>
      <c r="E390" s="61"/>
      <c r="F390" s="61"/>
      <c r="G390" s="61" t="str">
        <f>IFERROR(__xludf.DUMMYFUNCTION("""COMPUTED_VALUE"""),"")</f>
        <v/>
      </c>
      <c r="H390" s="62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ht="15.75" customHeight="1">
      <c r="A391" s="61"/>
      <c r="B391" s="61"/>
      <c r="C391" s="61"/>
      <c r="D391" s="61"/>
      <c r="E391" s="61"/>
      <c r="F391" s="61"/>
      <c r="G391" s="61" t="str">
        <f>IFERROR(__xludf.DUMMYFUNCTION("""COMPUTED_VALUE"""),"")</f>
        <v/>
      </c>
      <c r="H391" s="62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ht="15.75" customHeight="1">
      <c r="A392" s="61"/>
      <c r="B392" s="61"/>
      <c r="C392" s="61"/>
      <c r="D392" s="61"/>
      <c r="E392" s="61"/>
      <c r="F392" s="61"/>
      <c r="G392" s="61" t="str">
        <f>IFERROR(__xludf.DUMMYFUNCTION("""COMPUTED_VALUE"""),"")</f>
        <v/>
      </c>
      <c r="H392" s="62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ht="15.75" customHeight="1">
      <c r="A393" s="61"/>
      <c r="B393" s="61"/>
      <c r="C393" s="61"/>
      <c r="D393" s="61"/>
      <c r="E393" s="61"/>
      <c r="F393" s="61"/>
      <c r="G393" s="61" t="str">
        <f>IFERROR(__xludf.DUMMYFUNCTION("""COMPUTED_VALUE"""),"")</f>
        <v/>
      </c>
      <c r="H393" s="62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ht="15.75" customHeight="1">
      <c r="A394" s="61"/>
      <c r="B394" s="61"/>
      <c r="C394" s="61"/>
      <c r="D394" s="61"/>
      <c r="E394" s="61"/>
      <c r="F394" s="61"/>
      <c r="G394" s="61" t="str">
        <f>IFERROR(__xludf.DUMMYFUNCTION("""COMPUTED_VALUE"""),"")</f>
        <v/>
      </c>
      <c r="H394" s="62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ht="15.75" customHeight="1">
      <c r="A395" s="61"/>
      <c r="B395" s="61"/>
      <c r="C395" s="61"/>
      <c r="D395" s="61"/>
      <c r="E395" s="61"/>
      <c r="F395" s="61"/>
      <c r="G395" s="61" t="str">
        <f>IFERROR(__xludf.DUMMYFUNCTION("""COMPUTED_VALUE"""),"")</f>
        <v/>
      </c>
      <c r="H395" s="62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ht="15.75" customHeight="1">
      <c r="A396" s="61"/>
      <c r="B396" s="61"/>
      <c r="C396" s="61"/>
      <c r="D396" s="61"/>
      <c r="E396" s="61"/>
      <c r="F396" s="61"/>
      <c r="G396" s="61" t="str">
        <f>IFERROR(__xludf.DUMMYFUNCTION("""COMPUTED_VALUE"""),"")</f>
        <v/>
      </c>
      <c r="H396" s="62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ht="15.75" customHeight="1">
      <c r="A397" s="61"/>
      <c r="B397" s="61"/>
      <c r="C397" s="61"/>
      <c r="D397" s="61"/>
      <c r="E397" s="61"/>
      <c r="F397" s="61"/>
      <c r="G397" s="61" t="str">
        <f>IFERROR(__xludf.DUMMYFUNCTION("""COMPUTED_VALUE"""),"")</f>
        <v/>
      </c>
      <c r="H397" s="62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ht="15.75" customHeight="1">
      <c r="A398" s="61"/>
      <c r="B398" s="61"/>
      <c r="C398" s="61"/>
      <c r="D398" s="61"/>
      <c r="E398" s="61"/>
      <c r="F398" s="61"/>
      <c r="G398" s="61" t="str">
        <f>IFERROR(__xludf.DUMMYFUNCTION("""COMPUTED_VALUE"""),"")</f>
        <v/>
      </c>
      <c r="H398" s="62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ht="15.75" customHeight="1">
      <c r="A399" s="61"/>
      <c r="B399" s="61"/>
      <c r="C399" s="61"/>
      <c r="D399" s="61"/>
      <c r="E399" s="61"/>
      <c r="F399" s="61"/>
      <c r="G399" s="61" t="str">
        <f>IFERROR(__xludf.DUMMYFUNCTION("""COMPUTED_VALUE"""),"")</f>
        <v/>
      </c>
      <c r="H399" s="62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ht="15.75" customHeight="1">
      <c r="A400" s="61"/>
      <c r="B400" s="61"/>
      <c r="C400" s="61"/>
      <c r="D400" s="61"/>
      <c r="E400" s="61"/>
      <c r="F400" s="61"/>
      <c r="G400" s="61" t="str">
        <f>IFERROR(__xludf.DUMMYFUNCTION("""COMPUTED_VALUE"""),"")</f>
        <v/>
      </c>
      <c r="H400" s="62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ht="15.75" customHeight="1">
      <c r="A401" s="61"/>
      <c r="B401" s="61"/>
      <c r="C401" s="61"/>
      <c r="D401" s="61"/>
      <c r="E401" s="61"/>
      <c r="F401" s="61"/>
      <c r="G401" s="61" t="str">
        <f>IFERROR(__xludf.DUMMYFUNCTION("""COMPUTED_VALUE"""),"")</f>
        <v/>
      </c>
      <c r="H401" s="62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ht="15.75" customHeight="1">
      <c r="A402" s="61"/>
      <c r="B402" s="61"/>
      <c r="C402" s="61"/>
      <c r="D402" s="61"/>
      <c r="E402" s="61"/>
      <c r="F402" s="61"/>
      <c r="G402" s="61" t="str">
        <f>IFERROR(__xludf.DUMMYFUNCTION("""COMPUTED_VALUE"""),"")</f>
        <v/>
      </c>
      <c r="H402" s="62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ht="15.75" customHeight="1">
      <c r="A403" s="61"/>
      <c r="B403" s="61"/>
      <c r="C403" s="61"/>
      <c r="D403" s="61"/>
      <c r="E403" s="61"/>
      <c r="F403" s="61"/>
      <c r="G403" s="61" t="str">
        <f>IFERROR(__xludf.DUMMYFUNCTION("""COMPUTED_VALUE"""),"")</f>
        <v/>
      </c>
      <c r="H403" s="62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ht="15.75" customHeight="1">
      <c r="A404" s="61"/>
      <c r="B404" s="61"/>
      <c r="C404" s="61"/>
      <c r="D404" s="61"/>
      <c r="E404" s="61"/>
      <c r="F404" s="61"/>
      <c r="G404" s="61" t="str">
        <f>IFERROR(__xludf.DUMMYFUNCTION("""COMPUTED_VALUE"""),"")</f>
        <v/>
      </c>
      <c r="H404" s="62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ht="15.75" customHeight="1">
      <c r="A405" s="61"/>
      <c r="B405" s="61"/>
      <c r="C405" s="61"/>
      <c r="D405" s="61"/>
      <c r="E405" s="61"/>
      <c r="F405" s="61"/>
      <c r="G405" s="61" t="str">
        <f>IFERROR(__xludf.DUMMYFUNCTION("""COMPUTED_VALUE"""),"")</f>
        <v/>
      </c>
      <c r="H405" s="62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ht="15.75" customHeight="1">
      <c r="A406" s="61"/>
      <c r="B406" s="61"/>
      <c r="C406" s="61"/>
      <c r="D406" s="61"/>
      <c r="E406" s="61"/>
      <c r="F406" s="61"/>
      <c r="G406" s="61" t="str">
        <f>IFERROR(__xludf.DUMMYFUNCTION("""COMPUTED_VALUE"""),"")</f>
        <v/>
      </c>
      <c r="H406" s="62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ht="15.75" customHeight="1">
      <c r="A407" s="61"/>
      <c r="B407" s="61"/>
      <c r="C407" s="61"/>
      <c r="D407" s="61"/>
      <c r="E407" s="61"/>
      <c r="F407" s="61"/>
      <c r="G407" s="61" t="str">
        <f>IFERROR(__xludf.DUMMYFUNCTION("""COMPUTED_VALUE"""),"")</f>
        <v/>
      </c>
      <c r="H407" s="62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ht="15.75" customHeight="1">
      <c r="A408" s="61"/>
      <c r="B408" s="61"/>
      <c r="C408" s="61"/>
      <c r="D408" s="61"/>
      <c r="E408" s="61"/>
      <c r="F408" s="61"/>
      <c r="G408" s="61" t="str">
        <f>IFERROR(__xludf.DUMMYFUNCTION("""COMPUTED_VALUE"""),"")</f>
        <v/>
      </c>
      <c r="H408" s="62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ht="15.75" customHeight="1">
      <c r="A409" s="61"/>
      <c r="B409" s="61"/>
      <c r="C409" s="61"/>
      <c r="D409" s="61"/>
      <c r="E409" s="61"/>
      <c r="F409" s="61"/>
      <c r="G409" s="61" t="str">
        <f>IFERROR(__xludf.DUMMYFUNCTION("""COMPUTED_VALUE"""),"")</f>
        <v/>
      </c>
      <c r="H409" s="62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ht="15.75" customHeight="1">
      <c r="A410" s="61"/>
      <c r="B410" s="61"/>
      <c r="C410" s="61"/>
      <c r="D410" s="61"/>
      <c r="E410" s="61"/>
      <c r="F410" s="61"/>
      <c r="G410" s="61" t="str">
        <f>IFERROR(__xludf.DUMMYFUNCTION("""COMPUTED_VALUE"""),"")</f>
        <v/>
      </c>
      <c r="H410" s="62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ht="15.75" customHeight="1">
      <c r="A411" s="61"/>
      <c r="B411" s="61"/>
      <c r="C411" s="61"/>
      <c r="D411" s="61"/>
      <c r="E411" s="61"/>
      <c r="F411" s="61"/>
      <c r="G411" s="61" t="str">
        <f>IFERROR(__xludf.DUMMYFUNCTION("""COMPUTED_VALUE"""),"")</f>
        <v/>
      </c>
      <c r="H411" s="62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ht="15.75" customHeight="1">
      <c r="A412" s="61"/>
      <c r="B412" s="61"/>
      <c r="C412" s="61"/>
      <c r="D412" s="61"/>
      <c r="E412" s="61"/>
      <c r="F412" s="61"/>
      <c r="G412" s="61" t="str">
        <f>IFERROR(__xludf.DUMMYFUNCTION("""COMPUTED_VALUE"""),"")</f>
        <v/>
      </c>
      <c r="H412" s="62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ht="15.75" customHeight="1">
      <c r="A413" s="61"/>
      <c r="B413" s="61"/>
      <c r="C413" s="61"/>
      <c r="D413" s="61"/>
      <c r="E413" s="61"/>
      <c r="F413" s="61"/>
      <c r="G413" s="61" t="str">
        <f>IFERROR(__xludf.DUMMYFUNCTION("""COMPUTED_VALUE"""),"")</f>
        <v/>
      </c>
      <c r="H413" s="62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ht="15.75" customHeight="1">
      <c r="A414" s="61"/>
      <c r="B414" s="61"/>
      <c r="C414" s="61"/>
      <c r="D414" s="61"/>
      <c r="E414" s="61"/>
      <c r="F414" s="61"/>
      <c r="G414" s="61" t="str">
        <f>IFERROR(__xludf.DUMMYFUNCTION("""COMPUTED_VALUE"""),"")</f>
        <v/>
      </c>
      <c r="H414" s="62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ht="15.75" customHeight="1">
      <c r="A415" s="61"/>
      <c r="B415" s="61"/>
      <c r="C415" s="61"/>
      <c r="D415" s="61"/>
      <c r="E415" s="61"/>
      <c r="F415" s="61"/>
      <c r="G415" s="61" t="str">
        <f>IFERROR(__xludf.DUMMYFUNCTION("""COMPUTED_VALUE"""),"")</f>
        <v/>
      </c>
      <c r="H415" s="62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ht="15.75" customHeight="1">
      <c r="A416" s="61"/>
      <c r="B416" s="61"/>
      <c r="C416" s="61"/>
      <c r="D416" s="61"/>
      <c r="E416" s="61"/>
      <c r="F416" s="61"/>
      <c r="G416" s="61" t="str">
        <f>IFERROR(__xludf.DUMMYFUNCTION("""COMPUTED_VALUE"""),"")</f>
        <v/>
      </c>
      <c r="H416" s="62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ht="15.75" customHeight="1">
      <c r="A417" s="61"/>
      <c r="B417" s="61"/>
      <c r="C417" s="61"/>
      <c r="D417" s="61"/>
      <c r="E417" s="61"/>
      <c r="F417" s="61"/>
      <c r="G417" s="61" t="str">
        <f>IFERROR(__xludf.DUMMYFUNCTION("""COMPUTED_VALUE"""),"")</f>
        <v/>
      </c>
      <c r="H417" s="62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ht="15.75" customHeight="1">
      <c r="A418" s="61"/>
      <c r="B418" s="61"/>
      <c r="C418" s="61"/>
      <c r="D418" s="61"/>
      <c r="E418" s="61"/>
      <c r="F418" s="61"/>
      <c r="G418" s="61" t="str">
        <f>IFERROR(__xludf.DUMMYFUNCTION("""COMPUTED_VALUE"""),"")</f>
        <v/>
      </c>
      <c r="H418" s="62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ht="15.75" customHeight="1">
      <c r="A419" s="61"/>
      <c r="B419" s="61"/>
      <c r="C419" s="61"/>
      <c r="D419" s="61"/>
      <c r="E419" s="61"/>
      <c r="F419" s="61"/>
      <c r="G419" s="61" t="str">
        <f>IFERROR(__xludf.DUMMYFUNCTION("""COMPUTED_VALUE"""),"")</f>
        <v/>
      </c>
      <c r="H419" s="62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ht="15.75" customHeight="1">
      <c r="A420" s="61"/>
      <c r="B420" s="61"/>
      <c r="C420" s="61"/>
      <c r="D420" s="61"/>
      <c r="E420" s="61"/>
      <c r="F420" s="61"/>
      <c r="G420" s="61" t="str">
        <f>IFERROR(__xludf.DUMMYFUNCTION("""COMPUTED_VALUE"""),"")</f>
        <v/>
      </c>
      <c r="H420" s="62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ht="15.75" customHeight="1">
      <c r="A421" s="61"/>
      <c r="B421" s="61"/>
      <c r="C421" s="61"/>
      <c r="D421" s="61"/>
      <c r="E421" s="61"/>
      <c r="F421" s="61"/>
      <c r="G421" s="61" t="str">
        <f>IFERROR(__xludf.DUMMYFUNCTION("""COMPUTED_VALUE"""),"")</f>
        <v/>
      </c>
      <c r="H421" s="62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ht="15.75" customHeight="1">
      <c r="A422" s="61"/>
      <c r="B422" s="61"/>
      <c r="C422" s="61"/>
      <c r="D422" s="61"/>
      <c r="E422" s="61"/>
      <c r="F422" s="61"/>
      <c r="G422" s="61" t="str">
        <f>IFERROR(__xludf.DUMMYFUNCTION("""COMPUTED_VALUE"""),"")</f>
        <v/>
      </c>
      <c r="H422" s="62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ht="15.75" customHeight="1">
      <c r="A423" s="61"/>
      <c r="B423" s="61"/>
      <c r="C423" s="61"/>
      <c r="D423" s="61"/>
      <c r="E423" s="61"/>
      <c r="F423" s="61"/>
      <c r="G423" s="61" t="str">
        <f>IFERROR(__xludf.DUMMYFUNCTION("""COMPUTED_VALUE"""),"")</f>
        <v/>
      </c>
      <c r="H423" s="62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ht="15.75" customHeight="1">
      <c r="A424" s="61"/>
      <c r="B424" s="61"/>
      <c r="C424" s="61"/>
      <c r="D424" s="61"/>
      <c r="E424" s="61"/>
      <c r="F424" s="61"/>
      <c r="G424" s="61" t="str">
        <f>IFERROR(__xludf.DUMMYFUNCTION("""COMPUTED_VALUE"""),"")</f>
        <v/>
      </c>
      <c r="H424" s="62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ht="15.75" customHeight="1">
      <c r="A425" s="61"/>
      <c r="B425" s="61"/>
      <c r="C425" s="61"/>
      <c r="D425" s="61"/>
      <c r="E425" s="61"/>
      <c r="F425" s="61"/>
      <c r="G425" s="61" t="str">
        <f>IFERROR(__xludf.DUMMYFUNCTION("""COMPUTED_VALUE"""),"")</f>
        <v/>
      </c>
      <c r="H425" s="62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ht="15.75" customHeight="1">
      <c r="A426" s="61"/>
      <c r="B426" s="61"/>
      <c r="C426" s="61"/>
      <c r="D426" s="61"/>
      <c r="E426" s="61"/>
      <c r="F426" s="61"/>
      <c r="G426" s="61" t="str">
        <f>IFERROR(__xludf.DUMMYFUNCTION("""COMPUTED_VALUE"""),"")</f>
        <v/>
      </c>
      <c r="H426" s="62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ht="15.75" customHeight="1">
      <c r="A427" s="61"/>
      <c r="B427" s="61"/>
      <c r="C427" s="61"/>
      <c r="D427" s="61"/>
      <c r="E427" s="61"/>
      <c r="F427" s="61"/>
      <c r="G427" s="61" t="str">
        <f>IFERROR(__xludf.DUMMYFUNCTION("""COMPUTED_VALUE"""),"")</f>
        <v/>
      </c>
      <c r="H427" s="62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ht="15.75" customHeight="1">
      <c r="A428" s="61"/>
      <c r="B428" s="61"/>
      <c r="C428" s="61"/>
      <c r="D428" s="61"/>
      <c r="E428" s="61"/>
      <c r="F428" s="61"/>
      <c r="G428" s="61" t="str">
        <f>IFERROR(__xludf.DUMMYFUNCTION("""COMPUTED_VALUE"""),"")</f>
        <v/>
      </c>
      <c r="H428" s="62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ht="15.75" customHeight="1">
      <c r="A429" s="61"/>
      <c r="B429" s="61"/>
      <c r="C429" s="61"/>
      <c r="D429" s="61"/>
      <c r="E429" s="61"/>
      <c r="F429" s="61"/>
      <c r="G429" s="61" t="str">
        <f>IFERROR(__xludf.DUMMYFUNCTION("""COMPUTED_VALUE"""),"")</f>
        <v/>
      </c>
      <c r="H429" s="62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ht="15.75" customHeight="1">
      <c r="A430" s="61"/>
      <c r="B430" s="61"/>
      <c r="C430" s="61"/>
      <c r="D430" s="61"/>
      <c r="E430" s="61"/>
      <c r="F430" s="61"/>
      <c r="G430" s="61" t="str">
        <f>IFERROR(__xludf.DUMMYFUNCTION("""COMPUTED_VALUE"""),"")</f>
        <v/>
      </c>
      <c r="H430" s="62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ht="15.75" customHeight="1">
      <c r="A431" s="61"/>
      <c r="B431" s="61"/>
      <c r="C431" s="61"/>
      <c r="D431" s="61"/>
      <c r="E431" s="61"/>
      <c r="F431" s="61"/>
      <c r="G431" s="61" t="str">
        <f>IFERROR(__xludf.DUMMYFUNCTION("""COMPUTED_VALUE"""),"")</f>
        <v/>
      </c>
      <c r="H431" s="62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ht="15.75" customHeight="1">
      <c r="A432" s="61"/>
      <c r="B432" s="61"/>
      <c r="C432" s="61"/>
      <c r="D432" s="61"/>
      <c r="E432" s="61"/>
      <c r="F432" s="61"/>
      <c r="G432" s="61" t="str">
        <f>IFERROR(__xludf.DUMMYFUNCTION("""COMPUTED_VALUE"""),"")</f>
        <v/>
      </c>
      <c r="H432" s="62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ht="15.75" customHeight="1">
      <c r="A433" s="61"/>
      <c r="B433" s="61"/>
      <c r="C433" s="61"/>
      <c r="D433" s="61"/>
      <c r="E433" s="61"/>
      <c r="F433" s="61"/>
      <c r="G433" s="61" t="str">
        <f>IFERROR(__xludf.DUMMYFUNCTION("""COMPUTED_VALUE"""),"")</f>
        <v/>
      </c>
      <c r="H433" s="62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ht="15.75" customHeight="1">
      <c r="A434" s="61"/>
      <c r="B434" s="61"/>
      <c r="C434" s="61"/>
      <c r="D434" s="61"/>
      <c r="E434" s="61"/>
      <c r="F434" s="61"/>
      <c r="G434" s="61" t="str">
        <f>IFERROR(__xludf.DUMMYFUNCTION("""COMPUTED_VALUE"""),"")</f>
        <v/>
      </c>
      <c r="H434" s="62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ht="15.75" customHeight="1">
      <c r="A435" s="61"/>
      <c r="B435" s="61"/>
      <c r="C435" s="61"/>
      <c r="D435" s="61"/>
      <c r="E435" s="61"/>
      <c r="F435" s="61"/>
      <c r="G435" s="61" t="str">
        <f>IFERROR(__xludf.DUMMYFUNCTION("""COMPUTED_VALUE"""),"")</f>
        <v/>
      </c>
      <c r="H435" s="62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ht="15.75" customHeight="1">
      <c r="A436" s="61"/>
      <c r="B436" s="61"/>
      <c r="C436" s="61"/>
      <c r="D436" s="61"/>
      <c r="E436" s="61"/>
      <c r="F436" s="61"/>
      <c r="G436" s="61" t="str">
        <f>IFERROR(__xludf.DUMMYFUNCTION("""COMPUTED_VALUE"""),"")</f>
        <v/>
      </c>
      <c r="H436" s="62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ht="15.75" customHeight="1">
      <c r="A437" s="61"/>
      <c r="B437" s="61"/>
      <c r="C437" s="61"/>
      <c r="D437" s="61"/>
      <c r="E437" s="61"/>
      <c r="F437" s="61"/>
      <c r="G437" s="61" t="str">
        <f>IFERROR(__xludf.DUMMYFUNCTION("""COMPUTED_VALUE"""),"")</f>
        <v/>
      </c>
      <c r="H437" s="62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ht="15.75" customHeight="1">
      <c r="A438" s="61"/>
      <c r="B438" s="61"/>
      <c r="C438" s="61"/>
      <c r="D438" s="61"/>
      <c r="E438" s="61"/>
      <c r="F438" s="61"/>
      <c r="G438" s="61" t="str">
        <f>IFERROR(__xludf.DUMMYFUNCTION("""COMPUTED_VALUE"""),"")</f>
        <v/>
      </c>
      <c r="H438" s="62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ht="15.75" customHeight="1">
      <c r="A439" s="61"/>
      <c r="B439" s="61"/>
      <c r="C439" s="61"/>
      <c r="D439" s="61"/>
      <c r="E439" s="61"/>
      <c r="F439" s="61"/>
      <c r="G439" s="61" t="str">
        <f>IFERROR(__xludf.DUMMYFUNCTION("""COMPUTED_VALUE"""),"")</f>
        <v/>
      </c>
      <c r="H439" s="62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ht="15.75" customHeight="1">
      <c r="A440" s="61"/>
      <c r="B440" s="61"/>
      <c r="C440" s="61"/>
      <c r="D440" s="61"/>
      <c r="E440" s="61"/>
      <c r="F440" s="61"/>
      <c r="G440" s="61" t="str">
        <f>IFERROR(__xludf.DUMMYFUNCTION("""COMPUTED_VALUE"""),"")</f>
        <v/>
      </c>
      <c r="H440" s="62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ht="15.75" customHeight="1">
      <c r="A441" s="61"/>
      <c r="B441" s="61"/>
      <c r="C441" s="61"/>
      <c r="D441" s="61"/>
      <c r="E441" s="61"/>
      <c r="F441" s="61"/>
      <c r="G441" s="61" t="str">
        <f>IFERROR(__xludf.DUMMYFUNCTION("""COMPUTED_VALUE"""),"")</f>
        <v/>
      </c>
      <c r="H441" s="62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ht="15.75" customHeight="1">
      <c r="A442" s="61"/>
      <c r="B442" s="61"/>
      <c r="C442" s="61"/>
      <c r="D442" s="61"/>
      <c r="E442" s="61"/>
      <c r="F442" s="61"/>
      <c r="G442" s="61" t="str">
        <f>IFERROR(__xludf.DUMMYFUNCTION("""COMPUTED_VALUE"""),"")</f>
        <v/>
      </c>
      <c r="H442" s="62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ht="15.75" customHeight="1">
      <c r="A443" s="61"/>
      <c r="B443" s="61"/>
      <c r="C443" s="61"/>
      <c r="D443" s="61"/>
      <c r="E443" s="61"/>
      <c r="F443" s="61"/>
      <c r="G443" s="61" t="str">
        <f>IFERROR(__xludf.DUMMYFUNCTION("""COMPUTED_VALUE"""),"")</f>
        <v/>
      </c>
      <c r="H443" s="62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ht="15.75" customHeight="1">
      <c r="A444" s="61"/>
      <c r="B444" s="61"/>
      <c r="C444" s="61"/>
      <c r="D444" s="61"/>
      <c r="E444" s="61"/>
      <c r="F444" s="61"/>
      <c r="G444" s="61" t="str">
        <f>IFERROR(__xludf.DUMMYFUNCTION("""COMPUTED_VALUE"""),"")</f>
        <v/>
      </c>
      <c r="H444" s="62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ht="15.75" customHeight="1">
      <c r="A445" s="61"/>
      <c r="B445" s="61"/>
      <c r="C445" s="61"/>
      <c r="D445" s="61"/>
      <c r="E445" s="61"/>
      <c r="F445" s="61"/>
      <c r="G445" s="61" t="str">
        <f>IFERROR(__xludf.DUMMYFUNCTION("""COMPUTED_VALUE"""),"")</f>
        <v/>
      </c>
      <c r="H445" s="62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ht="15.75" customHeight="1">
      <c r="A446" s="61"/>
      <c r="B446" s="61"/>
      <c r="C446" s="61"/>
      <c r="D446" s="61"/>
      <c r="E446" s="61"/>
      <c r="F446" s="61"/>
      <c r="G446" s="61" t="str">
        <f>IFERROR(__xludf.DUMMYFUNCTION("""COMPUTED_VALUE"""),"")</f>
        <v/>
      </c>
      <c r="H446" s="62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ht="15.75" customHeight="1">
      <c r="A447" s="61"/>
      <c r="B447" s="61"/>
      <c r="C447" s="61"/>
      <c r="D447" s="61"/>
      <c r="E447" s="61"/>
      <c r="F447" s="61"/>
      <c r="G447" s="61" t="str">
        <f>IFERROR(__xludf.DUMMYFUNCTION("""COMPUTED_VALUE"""),"")</f>
        <v/>
      </c>
      <c r="H447" s="62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ht="15.75" customHeight="1">
      <c r="A448" s="61"/>
      <c r="B448" s="61"/>
      <c r="C448" s="61"/>
      <c r="D448" s="61"/>
      <c r="E448" s="61"/>
      <c r="F448" s="61"/>
      <c r="G448" s="61" t="str">
        <f>IFERROR(__xludf.DUMMYFUNCTION("""COMPUTED_VALUE"""),"")</f>
        <v/>
      </c>
      <c r="H448" s="62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ht="15.75" customHeight="1">
      <c r="A449" s="61"/>
      <c r="B449" s="61"/>
      <c r="C449" s="61"/>
      <c r="D449" s="61"/>
      <c r="E449" s="61"/>
      <c r="F449" s="61"/>
      <c r="G449" s="61" t="str">
        <f>IFERROR(__xludf.DUMMYFUNCTION("""COMPUTED_VALUE"""),"")</f>
        <v/>
      </c>
      <c r="H449" s="62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ht="15.75" customHeight="1">
      <c r="A450" s="61"/>
      <c r="B450" s="61"/>
      <c r="C450" s="61"/>
      <c r="D450" s="61"/>
      <c r="E450" s="61"/>
      <c r="F450" s="61"/>
      <c r="G450" s="61" t="str">
        <f>IFERROR(__xludf.DUMMYFUNCTION("""COMPUTED_VALUE"""),"")</f>
        <v/>
      </c>
      <c r="H450" s="62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ht="15.75" customHeight="1">
      <c r="A451" s="61"/>
      <c r="B451" s="61"/>
      <c r="C451" s="61"/>
      <c r="D451" s="61"/>
      <c r="E451" s="61"/>
      <c r="F451" s="61"/>
      <c r="G451" s="61" t="str">
        <f>IFERROR(__xludf.DUMMYFUNCTION("""COMPUTED_VALUE"""),"")</f>
        <v/>
      </c>
      <c r="H451" s="62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ht="15.75" customHeight="1">
      <c r="A452" s="61"/>
      <c r="B452" s="61"/>
      <c r="C452" s="61"/>
      <c r="D452" s="61"/>
      <c r="E452" s="61"/>
      <c r="F452" s="61"/>
      <c r="G452" s="61" t="str">
        <f>IFERROR(__xludf.DUMMYFUNCTION("""COMPUTED_VALUE"""),"")</f>
        <v/>
      </c>
      <c r="H452" s="62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ht="15.75" customHeight="1">
      <c r="A453" s="61"/>
      <c r="B453" s="61"/>
      <c r="C453" s="61"/>
      <c r="D453" s="61"/>
      <c r="E453" s="61"/>
      <c r="F453" s="61"/>
      <c r="G453" s="61" t="str">
        <f>IFERROR(__xludf.DUMMYFUNCTION("""COMPUTED_VALUE"""),"")</f>
        <v/>
      </c>
      <c r="H453" s="62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ht="15.75" customHeight="1">
      <c r="A454" s="61"/>
      <c r="B454" s="61"/>
      <c r="C454" s="61"/>
      <c r="D454" s="61"/>
      <c r="E454" s="61"/>
      <c r="F454" s="61"/>
      <c r="G454" s="61" t="str">
        <f>IFERROR(__xludf.DUMMYFUNCTION("""COMPUTED_VALUE"""),"")</f>
        <v/>
      </c>
      <c r="H454" s="62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ht="15.75" customHeight="1">
      <c r="A455" s="61"/>
      <c r="B455" s="61"/>
      <c r="C455" s="61"/>
      <c r="D455" s="61"/>
      <c r="E455" s="61"/>
      <c r="F455" s="61"/>
      <c r="G455" s="61" t="str">
        <f>IFERROR(__xludf.DUMMYFUNCTION("""COMPUTED_VALUE"""),"")</f>
        <v/>
      </c>
      <c r="H455" s="62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ht="15.75" customHeight="1">
      <c r="A456" s="61"/>
      <c r="B456" s="61"/>
      <c r="C456" s="61"/>
      <c r="D456" s="61"/>
      <c r="E456" s="61"/>
      <c r="F456" s="61"/>
      <c r="G456" s="61" t="str">
        <f>IFERROR(__xludf.DUMMYFUNCTION("""COMPUTED_VALUE"""),"")</f>
        <v/>
      </c>
      <c r="H456" s="62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ht="15.75" customHeight="1">
      <c r="A457" s="61"/>
      <c r="B457" s="61"/>
      <c r="C457" s="61"/>
      <c r="D457" s="61"/>
      <c r="E457" s="61"/>
      <c r="F457" s="61"/>
      <c r="G457" s="61" t="str">
        <f>IFERROR(__xludf.DUMMYFUNCTION("""COMPUTED_VALUE"""),"")</f>
        <v/>
      </c>
      <c r="H457" s="62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ht="15.75" customHeight="1">
      <c r="A458" s="61"/>
      <c r="B458" s="61"/>
      <c r="C458" s="61"/>
      <c r="D458" s="61"/>
      <c r="E458" s="61"/>
      <c r="F458" s="61"/>
      <c r="G458" s="61" t="str">
        <f>IFERROR(__xludf.DUMMYFUNCTION("""COMPUTED_VALUE"""),"")</f>
        <v/>
      </c>
      <c r="H458" s="62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ht="15.75" customHeight="1">
      <c r="A459" s="61"/>
      <c r="B459" s="61"/>
      <c r="C459" s="61"/>
      <c r="D459" s="61"/>
      <c r="E459" s="61"/>
      <c r="F459" s="61"/>
      <c r="G459" s="61" t="str">
        <f>IFERROR(__xludf.DUMMYFUNCTION("""COMPUTED_VALUE"""),"")</f>
        <v/>
      </c>
      <c r="H459" s="62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ht="15.75" customHeight="1">
      <c r="A460" s="61"/>
      <c r="B460" s="61"/>
      <c r="C460" s="61"/>
      <c r="D460" s="61"/>
      <c r="E460" s="61"/>
      <c r="F460" s="61"/>
      <c r="G460" s="61" t="str">
        <f>IFERROR(__xludf.DUMMYFUNCTION("""COMPUTED_VALUE"""),"")</f>
        <v/>
      </c>
      <c r="H460" s="62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ht="15.75" customHeight="1">
      <c r="A461" s="61"/>
      <c r="B461" s="61"/>
      <c r="C461" s="61"/>
      <c r="D461" s="61"/>
      <c r="E461" s="61"/>
      <c r="F461" s="61"/>
      <c r="G461" s="61" t="str">
        <f>IFERROR(__xludf.DUMMYFUNCTION("""COMPUTED_VALUE"""),"")</f>
        <v/>
      </c>
      <c r="H461" s="62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ht="15.75" customHeight="1">
      <c r="A462" s="61"/>
      <c r="B462" s="61"/>
      <c r="C462" s="61"/>
      <c r="D462" s="61"/>
      <c r="E462" s="61"/>
      <c r="F462" s="61"/>
      <c r="G462" s="61" t="str">
        <f>IFERROR(__xludf.DUMMYFUNCTION("""COMPUTED_VALUE"""),"")</f>
        <v/>
      </c>
      <c r="H462" s="62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ht="15.75" customHeight="1">
      <c r="A463" s="61"/>
      <c r="B463" s="61"/>
      <c r="C463" s="61"/>
      <c r="D463" s="61"/>
      <c r="E463" s="61"/>
      <c r="F463" s="61"/>
      <c r="G463" s="61" t="str">
        <f>IFERROR(__xludf.DUMMYFUNCTION("""COMPUTED_VALUE"""),"")</f>
        <v/>
      </c>
      <c r="H463" s="62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ht="15.75" customHeight="1">
      <c r="A464" s="61"/>
      <c r="B464" s="61"/>
      <c r="C464" s="61"/>
      <c r="D464" s="61"/>
      <c r="E464" s="61"/>
      <c r="F464" s="61"/>
      <c r="G464" s="61" t="str">
        <f>IFERROR(__xludf.DUMMYFUNCTION("""COMPUTED_VALUE"""),"")</f>
        <v/>
      </c>
      <c r="H464" s="62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ht="15.75" customHeight="1">
      <c r="A465" s="61"/>
      <c r="B465" s="61"/>
      <c r="C465" s="61"/>
      <c r="D465" s="61"/>
      <c r="E465" s="61"/>
      <c r="F465" s="61"/>
      <c r="G465" s="61" t="str">
        <f>IFERROR(__xludf.DUMMYFUNCTION("""COMPUTED_VALUE"""),"")</f>
        <v/>
      </c>
      <c r="H465" s="62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ht="15.75" customHeight="1">
      <c r="A466" s="61"/>
      <c r="B466" s="61"/>
      <c r="C466" s="61"/>
      <c r="D466" s="61"/>
      <c r="E466" s="61"/>
      <c r="F466" s="61"/>
      <c r="G466" s="61" t="str">
        <f>IFERROR(__xludf.DUMMYFUNCTION("""COMPUTED_VALUE"""),"")</f>
        <v/>
      </c>
      <c r="H466" s="62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ht="15.75" customHeight="1">
      <c r="A467" s="61"/>
      <c r="B467" s="61"/>
      <c r="C467" s="61"/>
      <c r="D467" s="61"/>
      <c r="E467" s="61"/>
      <c r="F467" s="61"/>
      <c r="G467" s="61" t="str">
        <f>IFERROR(__xludf.DUMMYFUNCTION("""COMPUTED_VALUE"""),"")</f>
        <v/>
      </c>
      <c r="H467" s="62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ht="15.75" customHeight="1">
      <c r="A468" s="61"/>
      <c r="B468" s="61"/>
      <c r="C468" s="61"/>
      <c r="D468" s="61"/>
      <c r="E468" s="61"/>
      <c r="F468" s="61"/>
      <c r="G468" s="61" t="str">
        <f>IFERROR(__xludf.DUMMYFUNCTION("""COMPUTED_VALUE"""),"")</f>
        <v/>
      </c>
      <c r="H468" s="62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ht="15.75" customHeight="1">
      <c r="A469" s="61"/>
      <c r="B469" s="61"/>
      <c r="C469" s="61"/>
      <c r="D469" s="61"/>
      <c r="E469" s="61"/>
      <c r="F469" s="61"/>
      <c r="G469" s="61" t="str">
        <f>IFERROR(__xludf.DUMMYFUNCTION("""COMPUTED_VALUE"""),"")</f>
        <v/>
      </c>
      <c r="H469" s="62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ht="15.75" customHeight="1">
      <c r="A470" s="61"/>
      <c r="B470" s="61"/>
      <c r="C470" s="61"/>
      <c r="D470" s="61"/>
      <c r="E470" s="61"/>
      <c r="F470" s="61"/>
      <c r="G470" s="61" t="str">
        <f>IFERROR(__xludf.DUMMYFUNCTION("""COMPUTED_VALUE"""),"")</f>
        <v/>
      </c>
      <c r="H470" s="62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ht="15.75" customHeight="1">
      <c r="A471" s="61"/>
      <c r="B471" s="61"/>
      <c r="C471" s="61"/>
      <c r="D471" s="61"/>
      <c r="E471" s="61"/>
      <c r="F471" s="61"/>
      <c r="G471" s="61" t="str">
        <f>IFERROR(__xludf.DUMMYFUNCTION("""COMPUTED_VALUE"""),"")</f>
        <v/>
      </c>
      <c r="H471" s="62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ht="15.75" customHeight="1">
      <c r="A472" s="61"/>
      <c r="B472" s="61"/>
      <c r="C472" s="61"/>
      <c r="D472" s="61"/>
      <c r="E472" s="61"/>
      <c r="F472" s="61"/>
      <c r="G472" s="61" t="str">
        <f>IFERROR(__xludf.DUMMYFUNCTION("""COMPUTED_VALUE"""),"")</f>
        <v/>
      </c>
      <c r="H472" s="62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ht="15.75" customHeight="1">
      <c r="A473" s="61"/>
      <c r="B473" s="61"/>
      <c r="C473" s="61"/>
      <c r="D473" s="61"/>
      <c r="E473" s="61"/>
      <c r="F473" s="61"/>
      <c r="G473" s="61" t="str">
        <f>IFERROR(__xludf.DUMMYFUNCTION("""COMPUTED_VALUE"""),"")</f>
        <v/>
      </c>
      <c r="H473" s="62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ht="15.75" customHeight="1">
      <c r="A474" s="61"/>
      <c r="B474" s="61"/>
      <c r="C474" s="61"/>
      <c r="D474" s="61"/>
      <c r="E474" s="61"/>
      <c r="F474" s="61"/>
      <c r="G474" s="61" t="str">
        <f>IFERROR(__xludf.DUMMYFUNCTION("""COMPUTED_VALUE"""),"")</f>
        <v/>
      </c>
      <c r="H474" s="62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ht="15.75" customHeight="1">
      <c r="A475" s="61"/>
      <c r="B475" s="61"/>
      <c r="C475" s="61"/>
      <c r="D475" s="61"/>
      <c r="E475" s="61"/>
      <c r="F475" s="61"/>
      <c r="G475" s="61" t="str">
        <f>IFERROR(__xludf.DUMMYFUNCTION("""COMPUTED_VALUE"""),"")</f>
        <v/>
      </c>
      <c r="H475" s="62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ht="15.75" customHeight="1">
      <c r="A476" s="61"/>
      <c r="B476" s="61"/>
      <c r="C476" s="61"/>
      <c r="D476" s="61"/>
      <c r="E476" s="61"/>
      <c r="F476" s="61"/>
      <c r="G476" s="61" t="str">
        <f>IFERROR(__xludf.DUMMYFUNCTION("""COMPUTED_VALUE"""),"")</f>
        <v/>
      </c>
      <c r="H476" s="62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ht="15.75" customHeight="1">
      <c r="A477" s="61"/>
      <c r="B477" s="61"/>
      <c r="C477" s="61"/>
      <c r="D477" s="61"/>
      <c r="E477" s="61"/>
      <c r="F477" s="61"/>
      <c r="G477" s="61" t="str">
        <f>IFERROR(__xludf.DUMMYFUNCTION("""COMPUTED_VALUE"""),"")</f>
        <v/>
      </c>
      <c r="H477" s="62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ht="15.75" customHeight="1">
      <c r="A478" s="61"/>
      <c r="B478" s="61"/>
      <c r="C478" s="61"/>
      <c r="D478" s="61"/>
      <c r="E478" s="61"/>
      <c r="F478" s="61"/>
      <c r="G478" s="61" t="str">
        <f>IFERROR(__xludf.DUMMYFUNCTION("""COMPUTED_VALUE"""),"")</f>
        <v/>
      </c>
      <c r="H478" s="62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ht="15.75" customHeight="1">
      <c r="A479" s="61"/>
      <c r="B479" s="61"/>
      <c r="C479" s="61"/>
      <c r="D479" s="61"/>
      <c r="E479" s="61"/>
      <c r="F479" s="61"/>
      <c r="G479" s="61" t="str">
        <f>IFERROR(__xludf.DUMMYFUNCTION("""COMPUTED_VALUE"""),"")</f>
        <v/>
      </c>
      <c r="H479" s="62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ht="15.75" customHeight="1">
      <c r="A480" s="61"/>
      <c r="B480" s="61"/>
      <c r="C480" s="61"/>
      <c r="D480" s="61"/>
      <c r="E480" s="61"/>
      <c r="F480" s="61"/>
      <c r="G480" s="61" t="str">
        <f>IFERROR(__xludf.DUMMYFUNCTION("""COMPUTED_VALUE"""),"")</f>
        <v/>
      </c>
      <c r="H480" s="62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ht="15.75" customHeight="1">
      <c r="A481" s="61"/>
      <c r="B481" s="61"/>
      <c r="C481" s="61"/>
      <c r="D481" s="61"/>
      <c r="E481" s="61"/>
      <c r="F481" s="61"/>
      <c r="G481" s="61" t="str">
        <f>IFERROR(__xludf.DUMMYFUNCTION("""COMPUTED_VALUE"""),"")</f>
        <v/>
      </c>
      <c r="H481" s="62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ht="15.75" customHeight="1">
      <c r="A482" s="61"/>
      <c r="B482" s="61"/>
      <c r="C482" s="61"/>
      <c r="D482" s="61"/>
      <c r="E482" s="61"/>
      <c r="F482" s="61"/>
      <c r="G482" s="61" t="str">
        <f>IFERROR(__xludf.DUMMYFUNCTION("""COMPUTED_VALUE"""),"")</f>
        <v/>
      </c>
      <c r="H482" s="62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ht="15.75" customHeight="1">
      <c r="A483" s="61"/>
      <c r="B483" s="61"/>
      <c r="C483" s="61"/>
      <c r="D483" s="61"/>
      <c r="E483" s="61"/>
      <c r="F483" s="61"/>
      <c r="G483" s="61" t="str">
        <f>IFERROR(__xludf.DUMMYFUNCTION("""COMPUTED_VALUE"""),"")</f>
        <v/>
      </c>
      <c r="H483" s="62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ht="15.75" customHeight="1">
      <c r="A484" s="61"/>
      <c r="B484" s="61"/>
      <c r="C484" s="61"/>
      <c r="D484" s="61"/>
      <c r="E484" s="61"/>
      <c r="F484" s="61"/>
      <c r="G484" s="61" t="str">
        <f>IFERROR(__xludf.DUMMYFUNCTION("""COMPUTED_VALUE"""),"")</f>
        <v/>
      </c>
      <c r="H484" s="62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ht="15.75" customHeight="1">
      <c r="A485" s="61"/>
      <c r="B485" s="61"/>
      <c r="C485" s="61"/>
      <c r="D485" s="61"/>
      <c r="E485" s="61"/>
      <c r="F485" s="61"/>
      <c r="G485" s="61" t="str">
        <f>IFERROR(__xludf.DUMMYFUNCTION("""COMPUTED_VALUE"""),"")</f>
        <v/>
      </c>
      <c r="H485" s="62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ht="15.75" customHeight="1">
      <c r="A486" s="61"/>
      <c r="B486" s="61"/>
      <c r="C486" s="61"/>
      <c r="D486" s="61"/>
      <c r="E486" s="61"/>
      <c r="F486" s="61"/>
      <c r="G486" s="61" t="str">
        <f>IFERROR(__xludf.DUMMYFUNCTION("""COMPUTED_VALUE"""),"")</f>
        <v/>
      </c>
      <c r="H486" s="62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ht="15.75" customHeight="1">
      <c r="A487" s="61"/>
      <c r="B487" s="61"/>
      <c r="C487" s="61"/>
      <c r="D487" s="61"/>
      <c r="E487" s="61"/>
      <c r="F487" s="61"/>
      <c r="G487" s="61" t="str">
        <f>IFERROR(__xludf.DUMMYFUNCTION("""COMPUTED_VALUE"""),"")</f>
        <v/>
      </c>
      <c r="H487" s="62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ht="15.75" customHeight="1">
      <c r="A488" s="61"/>
      <c r="B488" s="61"/>
      <c r="C488" s="61"/>
      <c r="D488" s="61"/>
      <c r="E488" s="61"/>
      <c r="F488" s="61"/>
      <c r="G488" s="61" t="str">
        <f>IFERROR(__xludf.DUMMYFUNCTION("""COMPUTED_VALUE"""),"")</f>
        <v/>
      </c>
      <c r="H488" s="62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ht="15.75" customHeight="1">
      <c r="A489" s="61"/>
      <c r="B489" s="61"/>
      <c r="C489" s="61"/>
      <c r="D489" s="61"/>
      <c r="E489" s="61"/>
      <c r="F489" s="61"/>
      <c r="G489" s="61" t="str">
        <f>IFERROR(__xludf.DUMMYFUNCTION("""COMPUTED_VALUE"""),"")</f>
        <v/>
      </c>
      <c r="H489" s="62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ht="15.75" customHeight="1">
      <c r="A490" s="61"/>
      <c r="B490" s="61"/>
      <c r="C490" s="61"/>
      <c r="D490" s="61"/>
      <c r="E490" s="61"/>
      <c r="F490" s="61"/>
      <c r="G490" s="61" t="str">
        <f>IFERROR(__xludf.DUMMYFUNCTION("""COMPUTED_VALUE"""),"")</f>
        <v/>
      </c>
      <c r="H490" s="62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ht="15.75" customHeight="1">
      <c r="A491" s="61"/>
      <c r="B491" s="61"/>
      <c r="C491" s="61"/>
      <c r="D491" s="61"/>
      <c r="E491" s="61"/>
      <c r="F491" s="61"/>
      <c r="G491" s="61" t="str">
        <f>IFERROR(__xludf.DUMMYFUNCTION("""COMPUTED_VALUE"""),"")</f>
        <v/>
      </c>
      <c r="H491" s="62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ht="15.75" customHeight="1">
      <c r="A492" s="61"/>
      <c r="B492" s="61"/>
      <c r="C492" s="61"/>
      <c r="D492" s="61"/>
      <c r="E492" s="61"/>
      <c r="F492" s="61"/>
      <c r="G492" s="61" t="str">
        <f>IFERROR(__xludf.DUMMYFUNCTION("""COMPUTED_VALUE"""),"")</f>
        <v/>
      </c>
      <c r="H492" s="62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ht="15.75" customHeight="1">
      <c r="A493" s="61"/>
      <c r="B493" s="61"/>
      <c r="C493" s="61"/>
      <c r="D493" s="61"/>
      <c r="E493" s="61"/>
      <c r="F493" s="61"/>
      <c r="G493" s="61" t="str">
        <f>IFERROR(__xludf.DUMMYFUNCTION("""COMPUTED_VALUE"""),"")</f>
        <v/>
      </c>
      <c r="H493" s="62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ht="15.75" customHeight="1">
      <c r="A494" s="61"/>
      <c r="B494" s="61"/>
      <c r="C494" s="61"/>
      <c r="D494" s="61"/>
      <c r="E494" s="61"/>
      <c r="F494" s="61"/>
      <c r="G494" s="61" t="str">
        <f>IFERROR(__xludf.DUMMYFUNCTION("""COMPUTED_VALUE"""),"")</f>
        <v/>
      </c>
      <c r="H494" s="62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ht="15.75" customHeight="1">
      <c r="A495" s="61"/>
      <c r="B495" s="61"/>
      <c r="C495" s="61"/>
      <c r="D495" s="61"/>
      <c r="E495" s="61"/>
      <c r="F495" s="61"/>
      <c r="G495" s="61" t="str">
        <f>IFERROR(__xludf.DUMMYFUNCTION("""COMPUTED_VALUE"""),"")</f>
        <v/>
      </c>
      <c r="H495" s="62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ht="15.75" customHeight="1">
      <c r="A496" s="61"/>
      <c r="B496" s="61"/>
      <c r="C496" s="61"/>
      <c r="D496" s="61"/>
      <c r="E496" s="61"/>
      <c r="F496" s="61"/>
      <c r="G496" s="61" t="str">
        <f>IFERROR(__xludf.DUMMYFUNCTION("""COMPUTED_VALUE"""),"")</f>
        <v/>
      </c>
      <c r="H496" s="62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ht="15.75" customHeight="1">
      <c r="A497" s="61"/>
      <c r="B497" s="61"/>
      <c r="C497" s="61"/>
      <c r="D497" s="61"/>
      <c r="E497" s="61"/>
      <c r="F497" s="61"/>
      <c r="G497" s="61" t="str">
        <f>IFERROR(__xludf.DUMMYFUNCTION("""COMPUTED_VALUE"""),"")</f>
        <v/>
      </c>
      <c r="H497" s="62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ht="15.75" customHeight="1">
      <c r="A498" s="61"/>
      <c r="B498" s="61"/>
      <c r="C498" s="61"/>
      <c r="D498" s="61"/>
      <c r="E498" s="61"/>
      <c r="F498" s="61"/>
      <c r="G498" s="61" t="str">
        <f>IFERROR(__xludf.DUMMYFUNCTION("""COMPUTED_VALUE"""),"")</f>
        <v/>
      </c>
      <c r="H498" s="62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ht="15.75" customHeight="1">
      <c r="A499" s="61"/>
      <c r="B499" s="61"/>
      <c r="C499" s="61"/>
      <c r="D499" s="61"/>
      <c r="E499" s="61"/>
      <c r="F499" s="61"/>
      <c r="G499" s="61" t="str">
        <f>IFERROR(__xludf.DUMMYFUNCTION("""COMPUTED_VALUE"""),"")</f>
        <v/>
      </c>
      <c r="H499" s="62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ht="15.75" customHeight="1">
      <c r="A500" s="61"/>
      <c r="B500" s="61"/>
      <c r="C500" s="61"/>
      <c r="D500" s="61"/>
      <c r="E500" s="61"/>
      <c r="F500" s="61"/>
      <c r="G500" s="61" t="str">
        <f>IFERROR(__xludf.DUMMYFUNCTION("""COMPUTED_VALUE"""),"")</f>
        <v/>
      </c>
      <c r="H500" s="62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ht="15.75" customHeight="1">
      <c r="A501" s="61"/>
      <c r="B501" s="61"/>
      <c r="C501" s="61"/>
      <c r="D501" s="61"/>
      <c r="E501" s="61"/>
      <c r="F501" s="61"/>
      <c r="G501" s="61" t="str">
        <f>IFERROR(__xludf.DUMMYFUNCTION("""COMPUTED_VALUE"""),"")</f>
        <v/>
      </c>
      <c r="H501" s="62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ht="15.75" customHeight="1">
      <c r="A502" s="61"/>
      <c r="B502" s="61"/>
      <c r="C502" s="61"/>
      <c r="D502" s="61"/>
      <c r="E502" s="61"/>
      <c r="F502" s="61"/>
      <c r="G502" s="61" t="str">
        <f>IFERROR(__xludf.DUMMYFUNCTION("""COMPUTED_VALUE"""),"")</f>
        <v/>
      </c>
      <c r="H502" s="62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ht="15.75" customHeight="1">
      <c r="A503" s="61"/>
      <c r="B503" s="61"/>
      <c r="C503" s="61"/>
      <c r="D503" s="61"/>
      <c r="E503" s="61"/>
      <c r="F503" s="61"/>
      <c r="G503" s="61" t="str">
        <f>IFERROR(__xludf.DUMMYFUNCTION("""COMPUTED_VALUE"""),"")</f>
        <v/>
      </c>
      <c r="H503" s="62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ht="15.75" customHeight="1">
      <c r="A504" s="61"/>
      <c r="B504" s="61"/>
      <c r="C504" s="61"/>
      <c r="D504" s="61"/>
      <c r="E504" s="61"/>
      <c r="F504" s="61"/>
      <c r="G504" s="61" t="str">
        <f>IFERROR(__xludf.DUMMYFUNCTION("""COMPUTED_VALUE"""),"")</f>
        <v/>
      </c>
      <c r="H504" s="62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ht="15.75" customHeight="1">
      <c r="A505" s="61"/>
      <c r="B505" s="61"/>
      <c r="C505" s="61"/>
      <c r="D505" s="61"/>
      <c r="E505" s="61"/>
      <c r="F505" s="61"/>
      <c r="G505" s="61" t="str">
        <f>IFERROR(__xludf.DUMMYFUNCTION("""COMPUTED_VALUE"""),"")</f>
        <v/>
      </c>
      <c r="H505" s="62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ht="15.75" customHeight="1">
      <c r="A506" s="61"/>
      <c r="B506" s="61"/>
      <c r="C506" s="61"/>
      <c r="D506" s="61"/>
      <c r="E506" s="61"/>
      <c r="F506" s="61"/>
      <c r="G506" s="61" t="str">
        <f>IFERROR(__xludf.DUMMYFUNCTION("""COMPUTED_VALUE"""),"")</f>
        <v/>
      </c>
      <c r="H506" s="62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ht="15.75" customHeight="1">
      <c r="A507" s="61"/>
      <c r="B507" s="61"/>
      <c r="C507" s="61"/>
      <c r="D507" s="61"/>
      <c r="E507" s="61"/>
      <c r="F507" s="61"/>
      <c r="G507" s="61" t="str">
        <f>IFERROR(__xludf.DUMMYFUNCTION("""COMPUTED_VALUE"""),"")</f>
        <v/>
      </c>
      <c r="H507" s="62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ht="15.75" customHeight="1">
      <c r="A508" s="61"/>
      <c r="B508" s="61"/>
      <c r="C508" s="61"/>
      <c r="D508" s="61"/>
      <c r="E508" s="61"/>
      <c r="F508" s="61"/>
      <c r="G508" s="61" t="str">
        <f>IFERROR(__xludf.DUMMYFUNCTION("""COMPUTED_VALUE"""),"")</f>
        <v/>
      </c>
      <c r="H508" s="62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ht="15.75" customHeight="1">
      <c r="A509" s="61"/>
      <c r="B509" s="61"/>
      <c r="C509" s="61"/>
      <c r="D509" s="61"/>
      <c r="E509" s="61"/>
      <c r="F509" s="61"/>
      <c r="G509" s="61" t="str">
        <f>IFERROR(__xludf.DUMMYFUNCTION("""COMPUTED_VALUE"""),"")</f>
        <v/>
      </c>
      <c r="H509" s="62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ht="15.75" customHeight="1">
      <c r="A510" s="61"/>
      <c r="B510" s="61"/>
      <c r="C510" s="61"/>
      <c r="D510" s="61"/>
      <c r="E510" s="61"/>
      <c r="F510" s="61"/>
      <c r="G510" s="61" t="str">
        <f>IFERROR(__xludf.DUMMYFUNCTION("""COMPUTED_VALUE"""),"")</f>
        <v/>
      </c>
      <c r="H510" s="62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ht="15.75" customHeight="1">
      <c r="A511" s="61"/>
      <c r="B511" s="61"/>
      <c r="C511" s="61"/>
      <c r="D511" s="61"/>
      <c r="E511" s="61"/>
      <c r="F511" s="61"/>
      <c r="G511" s="61" t="str">
        <f>IFERROR(__xludf.DUMMYFUNCTION("""COMPUTED_VALUE"""),"")</f>
        <v/>
      </c>
      <c r="H511" s="62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ht="15.75" customHeight="1">
      <c r="A512" s="61"/>
      <c r="B512" s="61"/>
      <c r="C512" s="61"/>
      <c r="D512" s="61"/>
      <c r="E512" s="61"/>
      <c r="F512" s="61"/>
      <c r="G512" s="61" t="str">
        <f>IFERROR(__xludf.DUMMYFUNCTION("""COMPUTED_VALUE"""),"")</f>
        <v/>
      </c>
      <c r="H512" s="62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ht="15.75" customHeight="1">
      <c r="A513" s="61"/>
      <c r="B513" s="61"/>
      <c r="C513" s="61"/>
      <c r="D513" s="61"/>
      <c r="E513" s="61"/>
      <c r="F513" s="61"/>
      <c r="G513" s="61" t="str">
        <f>IFERROR(__xludf.DUMMYFUNCTION("""COMPUTED_VALUE"""),"")</f>
        <v/>
      </c>
      <c r="H513" s="62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ht="15.75" customHeight="1">
      <c r="A514" s="61"/>
      <c r="B514" s="61"/>
      <c r="C514" s="61"/>
      <c r="D514" s="61"/>
      <c r="E514" s="61"/>
      <c r="F514" s="61"/>
      <c r="G514" s="61" t="str">
        <f>IFERROR(__xludf.DUMMYFUNCTION("""COMPUTED_VALUE"""),"")</f>
        <v/>
      </c>
      <c r="H514" s="62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ht="15.75" customHeight="1">
      <c r="A515" s="61"/>
      <c r="B515" s="61"/>
      <c r="C515" s="61"/>
      <c r="D515" s="61"/>
      <c r="E515" s="61"/>
      <c r="F515" s="61"/>
      <c r="G515" s="61" t="str">
        <f>IFERROR(__xludf.DUMMYFUNCTION("""COMPUTED_VALUE"""),"")</f>
        <v/>
      </c>
      <c r="H515" s="62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ht="15.75" customHeight="1">
      <c r="A516" s="61"/>
      <c r="B516" s="61"/>
      <c r="C516" s="61"/>
      <c r="D516" s="61"/>
      <c r="E516" s="61"/>
      <c r="F516" s="61"/>
      <c r="G516" s="61" t="str">
        <f>IFERROR(__xludf.DUMMYFUNCTION("""COMPUTED_VALUE"""),"")</f>
        <v/>
      </c>
      <c r="H516" s="62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ht="15.75" customHeight="1">
      <c r="A517" s="61"/>
      <c r="B517" s="61"/>
      <c r="C517" s="61"/>
      <c r="D517" s="61"/>
      <c r="E517" s="61"/>
      <c r="F517" s="61"/>
      <c r="G517" s="61" t="str">
        <f>IFERROR(__xludf.DUMMYFUNCTION("""COMPUTED_VALUE"""),"")</f>
        <v/>
      </c>
      <c r="H517" s="62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ht="15.75" customHeight="1">
      <c r="A518" s="61"/>
      <c r="B518" s="61"/>
      <c r="C518" s="61"/>
      <c r="D518" s="61"/>
      <c r="E518" s="61"/>
      <c r="F518" s="61"/>
      <c r="G518" s="61" t="str">
        <f>IFERROR(__xludf.DUMMYFUNCTION("""COMPUTED_VALUE"""),"")</f>
        <v/>
      </c>
      <c r="H518" s="62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ht="15.75" customHeight="1">
      <c r="A519" s="61"/>
      <c r="B519" s="61"/>
      <c r="C519" s="61"/>
      <c r="D519" s="61"/>
      <c r="E519" s="61"/>
      <c r="F519" s="61"/>
      <c r="G519" s="61" t="str">
        <f>IFERROR(__xludf.DUMMYFUNCTION("""COMPUTED_VALUE"""),"")</f>
        <v/>
      </c>
      <c r="H519" s="62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ht="15.75" customHeight="1">
      <c r="A520" s="61"/>
      <c r="B520" s="61"/>
      <c r="C520" s="61"/>
      <c r="D520" s="61"/>
      <c r="E520" s="61"/>
      <c r="F520" s="61"/>
      <c r="G520" s="61" t="str">
        <f>IFERROR(__xludf.DUMMYFUNCTION("""COMPUTED_VALUE"""),"")</f>
        <v/>
      </c>
      <c r="H520" s="62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ht="15.75" customHeight="1">
      <c r="A521" s="61"/>
      <c r="B521" s="61"/>
      <c r="C521" s="61"/>
      <c r="D521" s="61"/>
      <c r="E521" s="61"/>
      <c r="F521" s="61"/>
      <c r="G521" s="61" t="str">
        <f>IFERROR(__xludf.DUMMYFUNCTION("""COMPUTED_VALUE"""),"")</f>
        <v/>
      </c>
      <c r="H521" s="62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ht="15.75" customHeight="1">
      <c r="A522" s="61"/>
      <c r="B522" s="61"/>
      <c r="C522" s="61"/>
      <c r="D522" s="61"/>
      <c r="E522" s="61"/>
      <c r="F522" s="61"/>
      <c r="G522" s="61" t="str">
        <f>IFERROR(__xludf.DUMMYFUNCTION("""COMPUTED_VALUE"""),"")</f>
        <v/>
      </c>
      <c r="H522" s="62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ht="15.75" customHeight="1">
      <c r="A523" s="61"/>
      <c r="B523" s="61"/>
      <c r="C523" s="61"/>
      <c r="D523" s="61"/>
      <c r="E523" s="61"/>
      <c r="F523" s="61"/>
      <c r="G523" s="61" t="str">
        <f>IFERROR(__xludf.DUMMYFUNCTION("""COMPUTED_VALUE"""),"")</f>
        <v/>
      </c>
      <c r="H523" s="62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ht="15.75" customHeight="1">
      <c r="A524" s="61"/>
      <c r="B524" s="61"/>
      <c r="C524" s="61"/>
      <c r="D524" s="61"/>
      <c r="E524" s="61"/>
      <c r="F524" s="61"/>
      <c r="G524" s="61" t="str">
        <f>IFERROR(__xludf.DUMMYFUNCTION("""COMPUTED_VALUE"""),"")</f>
        <v/>
      </c>
      <c r="H524" s="62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ht="15.75" customHeight="1">
      <c r="A525" s="61"/>
      <c r="B525" s="61"/>
      <c r="C525" s="61"/>
      <c r="D525" s="61"/>
      <c r="E525" s="61"/>
      <c r="F525" s="61"/>
      <c r="G525" s="61" t="str">
        <f>IFERROR(__xludf.DUMMYFUNCTION("""COMPUTED_VALUE"""),"")</f>
        <v/>
      </c>
      <c r="H525" s="62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ht="15.75" customHeight="1">
      <c r="A526" s="61"/>
      <c r="B526" s="61"/>
      <c r="C526" s="61"/>
      <c r="D526" s="61"/>
      <c r="E526" s="61"/>
      <c r="F526" s="61"/>
      <c r="G526" s="61" t="str">
        <f>IFERROR(__xludf.DUMMYFUNCTION("""COMPUTED_VALUE"""),"")</f>
        <v/>
      </c>
      <c r="H526" s="62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ht="15.75" customHeight="1">
      <c r="A527" s="61"/>
      <c r="B527" s="61"/>
      <c r="C527" s="61"/>
      <c r="D527" s="61"/>
      <c r="E527" s="61"/>
      <c r="F527" s="61"/>
      <c r="G527" s="61" t="str">
        <f>IFERROR(__xludf.DUMMYFUNCTION("""COMPUTED_VALUE"""),"")</f>
        <v/>
      </c>
      <c r="H527" s="62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ht="15.75" customHeight="1">
      <c r="A528" s="61"/>
      <c r="B528" s="61"/>
      <c r="C528" s="61"/>
      <c r="D528" s="61"/>
      <c r="E528" s="61"/>
      <c r="F528" s="61"/>
      <c r="G528" s="61" t="str">
        <f>IFERROR(__xludf.DUMMYFUNCTION("""COMPUTED_VALUE"""),"")</f>
        <v/>
      </c>
      <c r="H528" s="62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ht="15.75" customHeight="1">
      <c r="A529" s="61"/>
      <c r="B529" s="61"/>
      <c r="C529" s="61"/>
      <c r="D529" s="61"/>
      <c r="E529" s="61"/>
      <c r="F529" s="61"/>
      <c r="G529" s="61" t="str">
        <f>IFERROR(__xludf.DUMMYFUNCTION("""COMPUTED_VALUE"""),"")</f>
        <v/>
      </c>
      <c r="H529" s="62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ht="15.75" customHeight="1">
      <c r="A530" s="61"/>
      <c r="B530" s="61"/>
      <c r="C530" s="61"/>
      <c r="D530" s="61"/>
      <c r="E530" s="61"/>
      <c r="F530" s="61"/>
      <c r="G530" s="61" t="str">
        <f>IFERROR(__xludf.DUMMYFUNCTION("""COMPUTED_VALUE"""),"")</f>
        <v/>
      </c>
      <c r="H530" s="62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ht="15.75" customHeight="1">
      <c r="A531" s="61"/>
      <c r="B531" s="61"/>
      <c r="C531" s="61"/>
      <c r="D531" s="61"/>
      <c r="E531" s="61"/>
      <c r="F531" s="61"/>
      <c r="G531" s="61" t="str">
        <f>IFERROR(__xludf.DUMMYFUNCTION("""COMPUTED_VALUE"""),"")</f>
        <v/>
      </c>
      <c r="H531" s="62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ht="15.75" customHeight="1">
      <c r="A532" s="61"/>
      <c r="B532" s="61"/>
      <c r="C532" s="61"/>
      <c r="D532" s="61"/>
      <c r="E532" s="61"/>
      <c r="F532" s="61"/>
      <c r="G532" s="61" t="str">
        <f>IFERROR(__xludf.DUMMYFUNCTION("""COMPUTED_VALUE"""),"")</f>
        <v/>
      </c>
      <c r="H532" s="62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ht="15.75" customHeight="1">
      <c r="A533" s="61"/>
      <c r="B533" s="61"/>
      <c r="C533" s="61"/>
      <c r="D533" s="61"/>
      <c r="E533" s="61"/>
      <c r="F533" s="61"/>
      <c r="G533" s="61" t="str">
        <f>IFERROR(__xludf.DUMMYFUNCTION("""COMPUTED_VALUE"""),"")</f>
        <v/>
      </c>
      <c r="H533" s="62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ht="15.75" customHeight="1">
      <c r="A534" s="61"/>
      <c r="B534" s="61"/>
      <c r="C534" s="61"/>
      <c r="D534" s="61"/>
      <c r="E534" s="61"/>
      <c r="F534" s="61"/>
      <c r="G534" s="61" t="str">
        <f>IFERROR(__xludf.DUMMYFUNCTION("""COMPUTED_VALUE"""),"")</f>
        <v/>
      </c>
      <c r="H534" s="62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ht="15.75" customHeight="1">
      <c r="A535" s="61"/>
      <c r="B535" s="61"/>
      <c r="C535" s="61"/>
      <c r="D535" s="61"/>
      <c r="E535" s="61"/>
      <c r="F535" s="61"/>
      <c r="G535" s="61" t="str">
        <f>IFERROR(__xludf.DUMMYFUNCTION("""COMPUTED_VALUE"""),"")</f>
        <v/>
      </c>
      <c r="H535" s="62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ht="15.75" customHeight="1">
      <c r="A536" s="61"/>
      <c r="B536" s="61"/>
      <c r="C536" s="61"/>
      <c r="D536" s="61"/>
      <c r="E536" s="61"/>
      <c r="F536" s="61"/>
      <c r="G536" s="61" t="str">
        <f>IFERROR(__xludf.DUMMYFUNCTION("""COMPUTED_VALUE"""),"")</f>
        <v/>
      </c>
      <c r="H536" s="62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ht="15.75" customHeight="1">
      <c r="A537" s="61"/>
      <c r="B537" s="61"/>
      <c r="C537" s="61"/>
      <c r="D537" s="61"/>
      <c r="E537" s="61"/>
      <c r="F537" s="61"/>
      <c r="G537" s="61" t="str">
        <f>IFERROR(__xludf.DUMMYFUNCTION("""COMPUTED_VALUE"""),"")</f>
        <v/>
      </c>
      <c r="H537" s="62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ht="15.75" customHeight="1">
      <c r="A538" s="61"/>
      <c r="B538" s="61"/>
      <c r="C538" s="61"/>
      <c r="D538" s="61"/>
      <c r="E538" s="61"/>
      <c r="F538" s="61"/>
      <c r="G538" s="61" t="str">
        <f>IFERROR(__xludf.DUMMYFUNCTION("""COMPUTED_VALUE"""),"")</f>
        <v/>
      </c>
      <c r="H538" s="62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ht="15.75" customHeight="1">
      <c r="A539" s="61"/>
      <c r="B539" s="61"/>
      <c r="C539" s="61"/>
      <c r="D539" s="61"/>
      <c r="E539" s="61"/>
      <c r="F539" s="61"/>
      <c r="G539" s="61" t="str">
        <f>IFERROR(__xludf.DUMMYFUNCTION("""COMPUTED_VALUE"""),"")</f>
        <v/>
      </c>
      <c r="H539" s="62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ht="15.75" customHeight="1">
      <c r="A540" s="61"/>
      <c r="B540" s="61"/>
      <c r="C540" s="61"/>
      <c r="D540" s="61"/>
      <c r="E540" s="61"/>
      <c r="F540" s="61"/>
      <c r="G540" s="61" t="str">
        <f>IFERROR(__xludf.DUMMYFUNCTION("""COMPUTED_VALUE"""),"")</f>
        <v/>
      </c>
      <c r="H540" s="62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ht="15.75" customHeight="1">
      <c r="A541" s="61"/>
      <c r="B541" s="61"/>
      <c r="C541" s="61"/>
      <c r="D541" s="61"/>
      <c r="E541" s="61"/>
      <c r="F541" s="61"/>
      <c r="G541" s="61" t="str">
        <f>IFERROR(__xludf.DUMMYFUNCTION("""COMPUTED_VALUE"""),"")</f>
        <v/>
      </c>
      <c r="H541" s="62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ht="15.75" customHeight="1">
      <c r="A542" s="61"/>
      <c r="B542" s="61"/>
      <c r="C542" s="61"/>
      <c r="D542" s="61"/>
      <c r="E542" s="61"/>
      <c r="F542" s="61"/>
      <c r="G542" s="61" t="str">
        <f>IFERROR(__xludf.DUMMYFUNCTION("""COMPUTED_VALUE"""),"")</f>
        <v/>
      </c>
      <c r="H542" s="62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ht="15.75" customHeight="1">
      <c r="A543" s="61"/>
      <c r="B543" s="61"/>
      <c r="C543" s="61"/>
      <c r="D543" s="61"/>
      <c r="E543" s="61"/>
      <c r="F543" s="61"/>
      <c r="G543" s="61" t="str">
        <f>IFERROR(__xludf.DUMMYFUNCTION("""COMPUTED_VALUE"""),"")</f>
        <v/>
      </c>
      <c r="H543" s="62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ht="15.75" customHeight="1">
      <c r="A544" s="61"/>
      <c r="B544" s="61"/>
      <c r="C544" s="61"/>
      <c r="D544" s="61"/>
      <c r="E544" s="61"/>
      <c r="F544" s="61"/>
      <c r="G544" s="61" t="str">
        <f>IFERROR(__xludf.DUMMYFUNCTION("""COMPUTED_VALUE"""),"")</f>
        <v/>
      </c>
      <c r="H544" s="62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ht="15.75" customHeight="1">
      <c r="A545" s="61"/>
      <c r="B545" s="61"/>
      <c r="C545" s="61"/>
      <c r="D545" s="61"/>
      <c r="E545" s="61"/>
      <c r="F545" s="61"/>
      <c r="G545" s="61" t="str">
        <f>IFERROR(__xludf.DUMMYFUNCTION("""COMPUTED_VALUE"""),"")</f>
        <v/>
      </c>
      <c r="H545" s="62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ht="15.75" customHeight="1">
      <c r="A546" s="61"/>
      <c r="B546" s="61"/>
      <c r="C546" s="61"/>
      <c r="D546" s="61"/>
      <c r="E546" s="61"/>
      <c r="F546" s="61"/>
      <c r="G546" s="61" t="str">
        <f>IFERROR(__xludf.DUMMYFUNCTION("""COMPUTED_VALUE"""),"")</f>
        <v/>
      </c>
      <c r="H546" s="62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ht="15.75" customHeight="1">
      <c r="A547" s="61"/>
      <c r="B547" s="61"/>
      <c r="C547" s="61"/>
      <c r="D547" s="61"/>
      <c r="E547" s="61"/>
      <c r="F547" s="61"/>
      <c r="G547" s="61" t="str">
        <f>IFERROR(__xludf.DUMMYFUNCTION("""COMPUTED_VALUE"""),"")</f>
        <v/>
      </c>
      <c r="H547" s="62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ht="15.75" customHeight="1">
      <c r="A548" s="61"/>
      <c r="B548" s="61"/>
      <c r="C548" s="61"/>
      <c r="D548" s="61"/>
      <c r="E548" s="61"/>
      <c r="F548" s="61"/>
      <c r="G548" s="61" t="str">
        <f>IFERROR(__xludf.DUMMYFUNCTION("""COMPUTED_VALUE"""),"")</f>
        <v/>
      </c>
      <c r="H548" s="62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ht="15.75" customHeight="1">
      <c r="A549" s="61"/>
      <c r="B549" s="61"/>
      <c r="C549" s="61"/>
      <c r="D549" s="61"/>
      <c r="E549" s="61"/>
      <c r="F549" s="61"/>
      <c r="G549" s="61" t="str">
        <f>IFERROR(__xludf.DUMMYFUNCTION("""COMPUTED_VALUE"""),"")</f>
        <v/>
      </c>
      <c r="H549" s="62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ht="15.75" customHeight="1">
      <c r="A550" s="61"/>
      <c r="B550" s="61"/>
      <c r="C550" s="61"/>
      <c r="D550" s="61"/>
      <c r="E550" s="61"/>
      <c r="F550" s="61"/>
      <c r="G550" s="61" t="str">
        <f>IFERROR(__xludf.DUMMYFUNCTION("""COMPUTED_VALUE"""),"")</f>
        <v/>
      </c>
      <c r="H550" s="62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ht="15.75" customHeight="1">
      <c r="A551" s="61"/>
      <c r="B551" s="61"/>
      <c r="C551" s="61"/>
      <c r="D551" s="61"/>
      <c r="E551" s="61"/>
      <c r="F551" s="61"/>
      <c r="G551" s="61" t="str">
        <f>IFERROR(__xludf.DUMMYFUNCTION("""COMPUTED_VALUE"""),"")</f>
        <v/>
      </c>
      <c r="H551" s="62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ht="15.75" customHeight="1">
      <c r="A552" s="61"/>
      <c r="B552" s="61"/>
      <c r="C552" s="61"/>
      <c r="D552" s="61"/>
      <c r="E552" s="61"/>
      <c r="F552" s="61"/>
      <c r="G552" s="61" t="str">
        <f>IFERROR(__xludf.DUMMYFUNCTION("""COMPUTED_VALUE"""),"")</f>
        <v/>
      </c>
      <c r="H552" s="62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ht="15.75" customHeight="1">
      <c r="A553" s="61"/>
      <c r="B553" s="61"/>
      <c r="C553" s="61"/>
      <c r="D553" s="61"/>
      <c r="E553" s="61"/>
      <c r="F553" s="61"/>
      <c r="G553" s="61" t="str">
        <f>IFERROR(__xludf.DUMMYFUNCTION("""COMPUTED_VALUE"""),"")</f>
        <v/>
      </c>
      <c r="H553" s="62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ht="15.75" customHeight="1">
      <c r="A554" s="61"/>
      <c r="B554" s="61"/>
      <c r="C554" s="61"/>
      <c r="D554" s="61"/>
      <c r="E554" s="61"/>
      <c r="F554" s="61"/>
      <c r="G554" s="61" t="str">
        <f>IFERROR(__xludf.DUMMYFUNCTION("""COMPUTED_VALUE"""),"")</f>
        <v/>
      </c>
      <c r="H554" s="62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ht="15.75" customHeight="1">
      <c r="A555" s="61"/>
      <c r="B555" s="61"/>
      <c r="C555" s="61"/>
      <c r="D555" s="61"/>
      <c r="E555" s="61"/>
      <c r="F555" s="61"/>
      <c r="G555" s="61" t="str">
        <f>IFERROR(__xludf.DUMMYFUNCTION("""COMPUTED_VALUE"""),"")</f>
        <v/>
      </c>
      <c r="H555" s="62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ht="15.75" customHeight="1">
      <c r="A556" s="61"/>
      <c r="B556" s="61"/>
      <c r="C556" s="61"/>
      <c r="D556" s="61"/>
      <c r="E556" s="61"/>
      <c r="F556" s="61"/>
      <c r="G556" s="61" t="str">
        <f>IFERROR(__xludf.DUMMYFUNCTION("""COMPUTED_VALUE"""),"")</f>
        <v/>
      </c>
      <c r="H556" s="62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ht="15.75" customHeight="1">
      <c r="A557" s="61"/>
      <c r="B557" s="61"/>
      <c r="C557" s="61"/>
      <c r="D557" s="61"/>
      <c r="E557" s="61"/>
      <c r="F557" s="61"/>
      <c r="G557" s="61" t="str">
        <f>IFERROR(__xludf.DUMMYFUNCTION("""COMPUTED_VALUE"""),"")</f>
        <v/>
      </c>
      <c r="H557" s="62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ht="15.75" customHeight="1">
      <c r="A558" s="61"/>
      <c r="B558" s="61"/>
      <c r="C558" s="61"/>
      <c r="D558" s="61"/>
      <c r="E558" s="61"/>
      <c r="F558" s="61"/>
      <c r="G558" s="61" t="str">
        <f>IFERROR(__xludf.DUMMYFUNCTION("""COMPUTED_VALUE"""),"")</f>
        <v/>
      </c>
      <c r="H558" s="62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ht="15.75" customHeight="1">
      <c r="A559" s="61"/>
      <c r="B559" s="61"/>
      <c r="C559" s="61"/>
      <c r="D559" s="61"/>
      <c r="E559" s="61"/>
      <c r="F559" s="61"/>
      <c r="G559" s="61" t="str">
        <f>IFERROR(__xludf.DUMMYFUNCTION("""COMPUTED_VALUE"""),"")</f>
        <v/>
      </c>
      <c r="H559" s="62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ht="15.75" customHeight="1">
      <c r="A560" s="61"/>
      <c r="B560" s="61"/>
      <c r="C560" s="61"/>
      <c r="D560" s="61"/>
      <c r="E560" s="61"/>
      <c r="F560" s="61"/>
      <c r="G560" s="61" t="str">
        <f>IFERROR(__xludf.DUMMYFUNCTION("""COMPUTED_VALUE"""),"")</f>
        <v/>
      </c>
      <c r="H560" s="62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ht="15.75" customHeight="1">
      <c r="A561" s="61"/>
      <c r="B561" s="61"/>
      <c r="C561" s="61"/>
      <c r="D561" s="61"/>
      <c r="E561" s="61"/>
      <c r="F561" s="61"/>
      <c r="G561" s="61" t="str">
        <f>IFERROR(__xludf.DUMMYFUNCTION("""COMPUTED_VALUE"""),"")</f>
        <v/>
      </c>
      <c r="H561" s="62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ht="15.75" customHeight="1">
      <c r="A562" s="61"/>
      <c r="B562" s="61"/>
      <c r="C562" s="61"/>
      <c r="D562" s="61"/>
      <c r="E562" s="61"/>
      <c r="F562" s="61"/>
      <c r="G562" s="61" t="str">
        <f>IFERROR(__xludf.DUMMYFUNCTION("""COMPUTED_VALUE"""),"")</f>
        <v/>
      </c>
      <c r="H562" s="62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ht="15.75" customHeight="1">
      <c r="A563" s="61"/>
      <c r="B563" s="61"/>
      <c r="C563" s="61"/>
      <c r="D563" s="61"/>
      <c r="E563" s="61"/>
      <c r="F563" s="61"/>
      <c r="G563" s="61" t="str">
        <f>IFERROR(__xludf.DUMMYFUNCTION("""COMPUTED_VALUE"""),"")</f>
        <v/>
      </c>
      <c r="H563" s="62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ht="15.75" customHeight="1">
      <c r="A564" s="61"/>
      <c r="B564" s="61"/>
      <c r="C564" s="61"/>
      <c r="D564" s="61"/>
      <c r="E564" s="61"/>
      <c r="F564" s="61"/>
      <c r="G564" s="61" t="str">
        <f>IFERROR(__xludf.DUMMYFUNCTION("""COMPUTED_VALUE"""),"")</f>
        <v/>
      </c>
      <c r="H564" s="62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ht="15.75" customHeight="1">
      <c r="A565" s="61"/>
      <c r="B565" s="61"/>
      <c r="C565" s="61"/>
      <c r="D565" s="61"/>
      <c r="E565" s="61"/>
      <c r="F565" s="61"/>
      <c r="G565" s="61" t="str">
        <f>IFERROR(__xludf.DUMMYFUNCTION("""COMPUTED_VALUE"""),"")</f>
        <v/>
      </c>
      <c r="H565" s="62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ht="15.75" customHeight="1">
      <c r="A566" s="61"/>
      <c r="B566" s="61"/>
      <c r="C566" s="61"/>
      <c r="D566" s="61"/>
      <c r="E566" s="61"/>
      <c r="F566" s="61"/>
      <c r="G566" s="61" t="str">
        <f>IFERROR(__xludf.DUMMYFUNCTION("""COMPUTED_VALUE"""),"")</f>
        <v/>
      </c>
      <c r="H566" s="62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ht="15.75" customHeight="1">
      <c r="A567" s="61"/>
      <c r="B567" s="61"/>
      <c r="C567" s="61"/>
      <c r="D567" s="61"/>
      <c r="E567" s="61"/>
      <c r="F567" s="61"/>
      <c r="G567" s="61" t="str">
        <f>IFERROR(__xludf.DUMMYFUNCTION("""COMPUTED_VALUE"""),"")</f>
        <v/>
      </c>
      <c r="H567" s="62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ht="15.75" customHeight="1">
      <c r="A568" s="61"/>
      <c r="B568" s="61"/>
      <c r="C568" s="61"/>
      <c r="D568" s="61"/>
      <c r="E568" s="61"/>
      <c r="F568" s="61"/>
      <c r="G568" s="61" t="str">
        <f>IFERROR(__xludf.DUMMYFUNCTION("""COMPUTED_VALUE"""),"")</f>
        <v/>
      </c>
      <c r="H568" s="62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ht="15.75" customHeight="1">
      <c r="A569" s="61"/>
      <c r="B569" s="61"/>
      <c r="C569" s="61"/>
      <c r="D569" s="61"/>
      <c r="E569" s="61"/>
      <c r="F569" s="61"/>
      <c r="G569" s="61" t="str">
        <f>IFERROR(__xludf.DUMMYFUNCTION("""COMPUTED_VALUE"""),"")</f>
        <v/>
      </c>
      <c r="H569" s="62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ht="15.75" customHeight="1">
      <c r="A570" s="61"/>
      <c r="B570" s="61"/>
      <c r="C570" s="61"/>
      <c r="D570" s="61"/>
      <c r="E570" s="61"/>
      <c r="F570" s="61"/>
      <c r="G570" s="61" t="str">
        <f>IFERROR(__xludf.DUMMYFUNCTION("""COMPUTED_VALUE"""),"")</f>
        <v/>
      </c>
      <c r="H570" s="62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ht="15.75" customHeight="1">
      <c r="A571" s="61"/>
      <c r="B571" s="61"/>
      <c r="C571" s="61"/>
      <c r="D571" s="61"/>
      <c r="E571" s="61"/>
      <c r="F571" s="61"/>
      <c r="G571" s="61" t="str">
        <f>IFERROR(__xludf.DUMMYFUNCTION("""COMPUTED_VALUE"""),"")</f>
        <v/>
      </c>
      <c r="H571" s="62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ht="15.75" customHeight="1">
      <c r="A572" s="61"/>
      <c r="B572" s="61"/>
      <c r="C572" s="61"/>
      <c r="D572" s="61"/>
      <c r="E572" s="61"/>
      <c r="F572" s="61"/>
      <c r="G572" s="61" t="str">
        <f>IFERROR(__xludf.DUMMYFUNCTION("""COMPUTED_VALUE"""),"")</f>
        <v/>
      </c>
      <c r="H572" s="62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ht="15.75" customHeight="1">
      <c r="A573" s="61"/>
      <c r="B573" s="61"/>
      <c r="C573" s="61"/>
      <c r="D573" s="61"/>
      <c r="E573" s="61"/>
      <c r="F573" s="61"/>
      <c r="G573" s="61" t="str">
        <f>IFERROR(__xludf.DUMMYFUNCTION("""COMPUTED_VALUE"""),"")</f>
        <v/>
      </c>
      <c r="H573" s="62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ht="15.75" customHeight="1">
      <c r="A574" s="61"/>
      <c r="B574" s="61"/>
      <c r="C574" s="61"/>
      <c r="D574" s="61"/>
      <c r="E574" s="61"/>
      <c r="F574" s="61"/>
      <c r="G574" s="61" t="str">
        <f>IFERROR(__xludf.DUMMYFUNCTION("""COMPUTED_VALUE"""),"")</f>
        <v/>
      </c>
      <c r="H574" s="62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ht="15.75" customHeight="1">
      <c r="A575" s="61"/>
      <c r="B575" s="61"/>
      <c r="C575" s="61"/>
      <c r="D575" s="61"/>
      <c r="E575" s="61"/>
      <c r="F575" s="61"/>
      <c r="G575" s="61" t="str">
        <f>IFERROR(__xludf.DUMMYFUNCTION("""COMPUTED_VALUE"""),"")</f>
        <v/>
      </c>
      <c r="H575" s="62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ht="15.75" customHeight="1">
      <c r="A576" s="61"/>
      <c r="B576" s="61"/>
      <c r="C576" s="61"/>
      <c r="D576" s="61"/>
      <c r="E576" s="61"/>
      <c r="F576" s="61"/>
      <c r="G576" s="61" t="str">
        <f>IFERROR(__xludf.DUMMYFUNCTION("""COMPUTED_VALUE"""),"")</f>
        <v/>
      </c>
      <c r="H576" s="62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ht="15.75" customHeight="1">
      <c r="A577" s="61"/>
      <c r="B577" s="61"/>
      <c r="C577" s="61"/>
      <c r="D577" s="61"/>
      <c r="E577" s="61"/>
      <c r="F577" s="61"/>
      <c r="G577" s="61" t="str">
        <f>IFERROR(__xludf.DUMMYFUNCTION("""COMPUTED_VALUE"""),"")</f>
        <v/>
      </c>
      <c r="H577" s="62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ht="15.75" customHeight="1">
      <c r="A578" s="61"/>
      <c r="B578" s="61"/>
      <c r="C578" s="61"/>
      <c r="D578" s="61"/>
      <c r="E578" s="61"/>
      <c r="F578" s="61"/>
      <c r="G578" s="61" t="str">
        <f>IFERROR(__xludf.DUMMYFUNCTION("""COMPUTED_VALUE"""),"")</f>
        <v/>
      </c>
      <c r="H578" s="62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ht="15.75" customHeight="1">
      <c r="A579" s="61"/>
      <c r="B579" s="61"/>
      <c r="C579" s="61"/>
      <c r="D579" s="61"/>
      <c r="E579" s="61"/>
      <c r="F579" s="61"/>
      <c r="G579" s="61" t="str">
        <f>IFERROR(__xludf.DUMMYFUNCTION("""COMPUTED_VALUE"""),"")</f>
        <v/>
      </c>
      <c r="H579" s="62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ht="15.75" customHeight="1">
      <c r="A580" s="61"/>
      <c r="B580" s="61"/>
      <c r="C580" s="61"/>
      <c r="D580" s="61"/>
      <c r="E580" s="61"/>
      <c r="F580" s="61"/>
      <c r="G580" s="61" t="str">
        <f>IFERROR(__xludf.DUMMYFUNCTION("""COMPUTED_VALUE"""),"")</f>
        <v/>
      </c>
      <c r="H580" s="62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ht="15.75" customHeight="1">
      <c r="A581" s="61"/>
      <c r="B581" s="61"/>
      <c r="C581" s="61"/>
      <c r="D581" s="61"/>
      <c r="E581" s="61"/>
      <c r="F581" s="61"/>
      <c r="G581" s="61" t="str">
        <f>IFERROR(__xludf.DUMMYFUNCTION("""COMPUTED_VALUE"""),"")</f>
        <v/>
      </c>
      <c r="H581" s="62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ht="15.75" customHeight="1">
      <c r="A582" s="61"/>
      <c r="B582" s="61"/>
      <c r="C582" s="61"/>
      <c r="D582" s="61"/>
      <c r="E582" s="61"/>
      <c r="F582" s="61"/>
      <c r="G582" s="61" t="str">
        <f>IFERROR(__xludf.DUMMYFUNCTION("""COMPUTED_VALUE"""),"")</f>
        <v/>
      </c>
      <c r="H582" s="62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ht="15.75" customHeight="1">
      <c r="A583" s="61"/>
      <c r="B583" s="61"/>
      <c r="C583" s="61"/>
      <c r="D583" s="61"/>
      <c r="E583" s="61"/>
      <c r="F583" s="61"/>
      <c r="G583" s="61" t="str">
        <f>IFERROR(__xludf.DUMMYFUNCTION("""COMPUTED_VALUE"""),"")</f>
        <v/>
      </c>
      <c r="H583" s="62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ht="15.75" customHeight="1">
      <c r="A584" s="61"/>
      <c r="B584" s="61"/>
      <c r="C584" s="61"/>
      <c r="D584" s="61"/>
      <c r="E584" s="61"/>
      <c r="F584" s="61"/>
      <c r="G584" s="61" t="str">
        <f>IFERROR(__xludf.DUMMYFUNCTION("""COMPUTED_VALUE"""),"")</f>
        <v/>
      </c>
      <c r="H584" s="62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ht="15.75" customHeight="1">
      <c r="A585" s="61"/>
      <c r="B585" s="61"/>
      <c r="C585" s="61"/>
      <c r="D585" s="61"/>
      <c r="E585" s="61"/>
      <c r="F585" s="61"/>
      <c r="G585" s="61" t="str">
        <f>IFERROR(__xludf.DUMMYFUNCTION("""COMPUTED_VALUE"""),"")</f>
        <v/>
      </c>
      <c r="H585" s="62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ht="15.75" customHeight="1">
      <c r="A586" s="61"/>
      <c r="B586" s="61"/>
      <c r="C586" s="61"/>
      <c r="D586" s="61"/>
      <c r="E586" s="61"/>
      <c r="F586" s="61"/>
      <c r="G586" s="61" t="str">
        <f>IFERROR(__xludf.DUMMYFUNCTION("""COMPUTED_VALUE"""),"")</f>
        <v/>
      </c>
      <c r="H586" s="62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ht="15.75" customHeight="1">
      <c r="A587" s="61"/>
      <c r="B587" s="61"/>
      <c r="C587" s="61"/>
      <c r="D587" s="61"/>
      <c r="E587" s="61"/>
      <c r="F587" s="61"/>
      <c r="G587" s="61" t="str">
        <f>IFERROR(__xludf.DUMMYFUNCTION("""COMPUTED_VALUE"""),"")</f>
        <v/>
      </c>
      <c r="H587" s="62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ht="15.75" customHeight="1">
      <c r="A588" s="61"/>
      <c r="B588" s="61"/>
      <c r="C588" s="61"/>
      <c r="D588" s="61"/>
      <c r="E588" s="61"/>
      <c r="F588" s="61"/>
      <c r="G588" s="61" t="str">
        <f>IFERROR(__xludf.DUMMYFUNCTION("""COMPUTED_VALUE"""),"")</f>
        <v/>
      </c>
      <c r="H588" s="62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ht="15.75" customHeight="1">
      <c r="A589" s="61"/>
      <c r="B589" s="61"/>
      <c r="C589" s="61"/>
      <c r="D589" s="61"/>
      <c r="E589" s="61"/>
      <c r="F589" s="61"/>
      <c r="G589" s="61" t="str">
        <f>IFERROR(__xludf.DUMMYFUNCTION("""COMPUTED_VALUE"""),"")</f>
        <v/>
      </c>
      <c r="H589" s="62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ht="15.75" customHeight="1">
      <c r="A590" s="61"/>
      <c r="B590" s="61"/>
      <c r="C590" s="61"/>
      <c r="D590" s="61"/>
      <c r="E590" s="61"/>
      <c r="F590" s="61"/>
      <c r="G590" s="61" t="str">
        <f>IFERROR(__xludf.DUMMYFUNCTION("""COMPUTED_VALUE"""),"")</f>
        <v/>
      </c>
      <c r="H590" s="62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ht="15.75" customHeight="1">
      <c r="A591" s="61"/>
      <c r="B591" s="61"/>
      <c r="C591" s="61"/>
      <c r="D591" s="61"/>
      <c r="E591" s="61"/>
      <c r="F591" s="61"/>
      <c r="G591" s="61" t="str">
        <f>IFERROR(__xludf.DUMMYFUNCTION("""COMPUTED_VALUE"""),"")</f>
        <v/>
      </c>
      <c r="H591" s="62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ht="15.75" customHeight="1">
      <c r="A592" s="61"/>
      <c r="B592" s="61"/>
      <c r="C592" s="61"/>
      <c r="D592" s="61"/>
      <c r="E592" s="61"/>
      <c r="F592" s="61"/>
      <c r="G592" s="61" t="str">
        <f>IFERROR(__xludf.DUMMYFUNCTION("""COMPUTED_VALUE"""),"")</f>
        <v/>
      </c>
      <c r="H592" s="62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ht="15.75" customHeight="1">
      <c r="A593" s="61"/>
      <c r="B593" s="61"/>
      <c r="C593" s="61"/>
      <c r="D593" s="61"/>
      <c r="E593" s="61"/>
      <c r="F593" s="61"/>
      <c r="G593" s="61" t="str">
        <f>IFERROR(__xludf.DUMMYFUNCTION("""COMPUTED_VALUE"""),"")</f>
        <v/>
      </c>
      <c r="H593" s="62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ht="15.75" customHeight="1">
      <c r="A594" s="61"/>
      <c r="B594" s="61"/>
      <c r="C594" s="61"/>
      <c r="D594" s="61"/>
      <c r="E594" s="61"/>
      <c r="F594" s="61"/>
      <c r="G594" s="61" t="str">
        <f>IFERROR(__xludf.DUMMYFUNCTION("""COMPUTED_VALUE"""),"")</f>
        <v/>
      </c>
      <c r="H594" s="62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ht="15.75" customHeight="1">
      <c r="A595" s="61"/>
      <c r="B595" s="61"/>
      <c r="C595" s="61"/>
      <c r="D595" s="61"/>
      <c r="E595" s="61"/>
      <c r="F595" s="61"/>
      <c r="G595" s="61" t="str">
        <f>IFERROR(__xludf.DUMMYFUNCTION("""COMPUTED_VALUE"""),"")</f>
        <v/>
      </c>
      <c r="H595" s="62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ht="15.75" customHeight="1">
      <c r="A596" s="61"/>
      <c r="B596" s="61"/>
      <c r="C596" s="61"/>
      <c r="D596" s="61"/>
      <c r="E596" s="61"/>
      <c r="F596" s="61"/>
      <c r="G596" s="61" t="str">
        <f>IFERROR(__xludf.DUMMYFUNCTION("""COMPUTED_VALUE"""),"")</f>
        <v/>
      </c>
      <c r="H596" s="62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ht="15.75" customHeight="1">
      <c r="A597" s="61"/>
      <c r="B597" s="61"/>
      <c r="C597" s="61"/>
      <c r="D597" s="61"/>
      <c r="E597" s="61"/>
      <c r="F597" s="61"/>
      <c r="G597" s="61" t="str">
        <f>IFERROR(__xludf.DUMMYFUNCTION("""COMPUTED_VALUE"""),"")</f>
        <v/>
      </c>
      <c r="H597" s="62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ht="15.75" customHeight="1">
      <c r="A598" s="61"/>
      <c r="B598" s="61"/>
      <c r="C598" s="61"/>
      <c r="D598" s="61"/>
      <c r="E598" s="61"/>
      <c r="F598" s="61"/>
      <c r="G598" s="61" t="str">
        <f>IFERROR(__xludf.DUMMYFUNCTION("""COMPUTED_VALUE"""),"")</f>
        <v/>
      </c>
      <c r="H598" s="62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ht="15.75" customHeight="1">
      <c r="A599" s="61"/>
      <c r="B599" s="61"/>
      <c r="C599" s="61"/>
      <c r="D599" s="61"/>
      <c r="E599" s="61"/>
      <c r="F599" s="61"/>
      <c r="G599" s="61" t="str">
        <f>IFERROR(__xludf.DUMMYFUNCTION("""COMPUTED_VALUE"""),"")</f>
        <v/>
      </c>
      <c r="H599" s="62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ht="15.75" customHeight="1">
      <c r="A600" s="61"/>
      <c r="B600" s="61"/>
      <c r="C600" s="61"/>
      <c r="D600" s="61"/>
      <c r="E600" s="61"/>
      <c r="F600" s="61"/>
      <c r="G600" s="61" t="str">
        <f>IFERROR(__xludf.DUMMYFUNCTION("""COMPUTED_VALUE"""),"")</f>
        <v/>
      </c>
      <c r="H600" s="62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ht="15.75" customHeight="1">
      <c r="A601" s="61"/>
      <c r="B601" s="61"/>
      <c r="C601" s="61"/>
      <c r="D601" s="61"/>
      <c r="E601" s="61"/>
      <c r="F601" s="61"/>
      <c r="G601" s="61" t="str">
        <f>IFERROR(__xludf.DUMMYFUNCTION("""COMPUTED_VALUE"""),"")</f>
        <v/>
      </c>
      <c r="H601" s="62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ht="15.75" customHeight="1">
      <c r="A602" s="61"/>
      <c r="B602" s="61"/>
      <c r="C602" s="61"/>
      <c r="D602" s="61"/>
      <c r="E602" s="61"/>
      <c r="F602" s="61"/>
      <c r="G602" s="61" t="str">
        <f>IFERROR(__xludf.DUMMYFUNCTION("""COMPUTED_VALUE"""),"")</f>
        <v/>
      </c>
      <c r="H602" s="62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ht="15.75" customHeight="1">
      <c r="A603" s="61"/>
      <c r="B603" s="61"/>
      <c r="C603" s="61"/>
      <c r="D603" s="61"/>
      <c r="E603" s="61"/>
      <c r="F603" s="61"/>
      <c r="G603" s="61" t="str">
        <f>IFERROR(__xludf.DUMMYFUNCTION("""COMPUTED_VALUE"""),"")</f>
        <v/>
      </c>
      <c r="H603" s="62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ht="15.75" customHeight="1">
      <c r="A604" s="61"/>
      <c r="B604" s="61"/>
      <c r="C604" s="61"/>
      <c r="D604" s="61"/>
      <c r="E604" s="61"/>
      <c r="F604" s="61"/>
      <c r="G604" s="61" t="str">
        <f>IFERROR(__xludf.DUMMYFUNCTION("""COMPUTED_VALUE"""),"")</f>
        <v/>
      </c>
      <c r="H604" s="62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ht="15.75" customHeight="1">
      <c r="A605" s="61"/>
      <c r="B605" s="61"/>
      <c r="C605" s="61"/>
      <c r="D605" s="61"/>
      <c r="E605" s="61"/>
      <c r="F605" s="61"/>
      <c r="G605" s="61" t="str">
        <f>IFERROR(__xludf.DUMMYFUNCTION("""COMPUTED_VALUE"""),"")</f>
        <v/>
      </c>
      <c r="H605" s="62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ht="15.75" customHeight="1">
      <c r="A606" s="61"/>
      <c r="B606" s="61"/>
      <c r="C606" s="61"/>
      <c r="D606" s="61"/>
      <c r="E606" s="61"/>
      <c r="F606" s="61"/>
      <c r="G606" s="61" t="str">
        <f>IFERROR(__xludf.DUMMYFUNCTION("""COMPUTED_VALUE"""),"")</f>
        <v/>
      </c>
      <c r="H606" s="62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ht="15.75" customHeight="1">
      <c r="A607" s="61"/>
      <c r="B607" s="61"/>
      <c r="C607" s="61"/>
      <c r="D607" s="61"/>
      <c r="E607" s="61"/>
      <c r="F607" s="61"/>
      <c r="G607" s="61" t="str">
        <f>IFERROR(__xludf.DUMMYFUNCTION("""COMPUTED_VALUE"""),"")</f>
        <v/>
      </c>
      <c r="H607" s="62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ht="15.75" customHeight="1">
      <c r="A608" s="61"/>
      <c r="B608" s="61"/>
      <c r="C608" s="61"/>
      <c r="D608" s="61"/>
      <c r="E608" s="61"/>
      <c r="F608" s="61"/>
      <c r="G608" s="61" t="str">
        <f>IFERROR(__xludf.DUMMYFUNCTION("""COMPUTED_VALUE"""),"")</f>
        <v/>
      </c>
      <c r="H608" s="62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ht="15.75" customHeight="1">
      <c r="A609" s="61"/>
      <c r="B609" s="61"/>
      <c r="C609" s="61"/>
      <c r="D609" s="61"/>
      <c r="E609" s="61"/>
      <c r="F609" s="61"/>
      <c r="G609" s="61" t="str">
        <f>IFERROR(__xludf.DUMMYFUNCTION("""COMPUTED_VALUE"""),"")</f>
        <v/>
      </c>
      <c r="H609" s="62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ht="15.75" customHeight="1">
      <c r="A610" s="61"/>
      <c r="B610" s="61"/>
      <c r="C610" s="61"/>
      <c r="D610" s="61"/>
      <c r="E610" s="61"/>
      <c r="F610" s="61"/>
      <c r="G610" s="61" t="str">
        <f>IFERROR(__xludf.DUMMYFUNCTION("""COMPUTED_VALUE"""),"")</f>
        <v/>
      </c>
      <c r="H610" s="62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ht="15.75" customHeight="1">
      <c r="A611" s="61"/>
      <c r="B611" s="61"/>
      <c r="C611" s="61"/>
      <c r="D611" s="61"/>
      <c r="E611" s="61"/>
      <c r="F611" s="61"/>
      <c r="G611" s="61" t="str">
        <f>IFERROR(__xludf.DUMMYFUNCTION("""COMPUTED_VALUE"""),"")</f>
        <v/>
      </c>
      <c r="H611" s="62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ht="15.75" customHeight="1">
      <c r="A612" s="61"/>
      <c r="B612" s="61"/>
      <c r="C612" s="61"/>
      <c r="D612" s="61"/>
      <c r="E612" s="61"/>
      <c r="F612" s="61"/>
      <c r="G612" s="61" t="str">
        <f>IFERROR(__xludf.DUMMYFUNCTION("""COMPUTED_VALUE"""),"")</f>
        <v/>
      </c>
      <c r="H612" s="62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ht="15.75" customHeight="1">
      <c r="A613" s="61"/>
      <c r="B613" s="61"/>
      <c r="C613" s="61"/>
      <c r="D613" s="61"/>
      <c r="E613" s="61"/>
      <c r="F613" s="61"/>
      <c r="G613" s="61" t="str">
        <f>IFERROR(__xludf.DUMMYFUNCTION("""COMPUTED_VALUE"""),"")</f>
        <v/>
      </c>
      <c r="H613" s="62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ht="15.75" customHeight="1">
      <c r="A614" s="61"/>
      <c r="B614" s="61"/>
      <c r="C614" s="61"/>
      <c r="D614" s="61"/>
      <c r="E614" s="61"/>
      <c r="F614" s="61"/>
      <c r="G614" s="61" t="str">
        <f>IFERROR(__xludf.DUMMYFUNCTION("""COMPUTED_VALUE"""),"")</f>
        <v/>
      </c>
      <c r="H614" s="62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ht="15.75" customHeight="1">
      <c r="A615" s="61"/>
      <c r="B615" s="61"/>
      <c r="C615" s="61"/>
      <c r="D615" s="61"/>
      <c r="E615" s="61"/>
      <c r="F615" s="61"/>
      <c r="G615" s="61" t="str">
        <f>IFERROR(__xludf.DUMMYFUNCTION("""COMPUTED_VALUE"""),"")</f>
        <v/>
      </c>
      <c r="H615" s="62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ht="15.75" customHeight="1">
      <c r="A616" s="61"/>
      <c r="B616" s="61"/>
      <c r="C616" s="61"/>
      <c r="D616" s="61"/>
      <c r="E616" s="61"/>
      <c r="F616" s="61"/>
      <c r="G616" s="61" t="str">
        <f>IFERROR(__xludf.DUMMYFUNCTION("""COMPUTED_VALUE"""),"")</f>
        <v/>
      </c>
      <c r="H616" s="62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ht="15.75" customHeight="1">
      <c r="A617" s="61"/>
      <c r="B617" s="61"/>
      <c r="C617" s="61"/>
      <c r="D617" s="61"/>
      <c r="E617" s="61"/>
      <c r="F617" s="61"/>
      <c r="G617" s="61" t="str">
        <f>IFERROR(__xludf.DUMMYFUNCTION("""COMPUTED_VALUE"""),"")</f>
        <v/>
      </c>
      <c r="H617" s="62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ht="15.75" customHeight="1">
      <c r="A618" s="61"/>
      <c r="B618" s="61"/>
      <c r="C618" s="61"/>
      <c r="D618" s="61"/>
      <c r="E618" s="61"/>
      <c r="F618" s="61"/>
      <c r="G618" s="61" t="str">
        <f>IFERROR(__xludf.DUMMYFUNCTION("""COMPUTED_VALUE"""),"")</f>
        <v/>
      </c>
      <c r="H618" s="62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ht="15.75" customHeight="1">
      <c r="A619" s="61"/>
      <c r="B619" s="61"/>
      <c r="C619" s="61"/>
      <c r="D619" s="61"/>
      <c r="E619" s="61"/>
      <c r="F619" s="61"/>
      <c r="G619" s="61" t="str">
        <f>IFERROR(__xludf.DUMMYFUNCTION("""COMPUTED_VALUE"""),"")</f>
        <v/>
      </c>
      <c r="H619" s="62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ht="15.75" customHeight="1">
      <c r="A620" s="61"/>
      <c r="B620" s="61"/>
      <c r="C620" s="61"/>
      <c r="D620" s="61"/>
      <c r="E620" s="61"/>
      <c r="F620" s="61"/>
      <c r="G620" s="61" t="str">
        <f>IFERROR(__xludf.DUMMYFUNCTION("""COMPUTED_VALUE"""),"")</f>
        <v/>
      </c>
      <c r="H620" s="62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ht="15.75" customHeight="1">
      <c r="A621" s="61"/>
      <c r="B621" s="61"/>
      <c r="C621" s="61"/>
      <c r="D621" s="61"/>
      <c r="E621" s="61"/>
      <c r="F621" s="61"/>
      <c r="G621" s="61" t="str">
        <f>IFERROR(__xludf.DUMMYFUNCTION("""COMPUTED_VALUE"""),"")</f>
        <v/>
      </c>
      <c r="H621" s="62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ht="15.75" customHeight="1">
      <c r="A622" s="61"/>
      <c r="B622" s="61"/>
      <c r="C622" s="61"/>
      <c r="D622" s="61"/>
      <c r="E622" s="61"/>
      <c r="F622" s="61"/>
      <c r="G622" s="61" t="str">
        <f>IFERROR(__xludf.DUMMYFUNCTION("""COMPUTED_VALUE"""),"")</f>
        <v/>
      </c>
      <c r="H622" s="62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ht="15.75" customHeight="1">
      <c r="A623" s="61"/>
      <c r="B623" s="61"/>
      <c r="C623" s="61"/>
      <c r="D623" s="61"/>
      <c r="E623" s="61"/>
      <c r="F623" s="61"/>
      <c r="G623" s="61" t="str">
        <f>IFERROR(__xludf.DUMMYFUNCTION("""COMPUTED_VALUE"""),"")</f>
        <v/>
      </c>
      <c r="H623" s="62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ht="15.75" customHeight="1">
      <c r="A624" s="61"/>
      <c r="B624" s="61"/>
      <c r="C624" s="61"/>
      <c r="D624" s="61"/>
      <c r="E624" s="61"/>
      <c r="F624" s="61"/>
      <c r="G624" s="61" t="str">
        <f>IFERROR(__xludf.DUMMYFUNCTION("""COMPUTED_VALUE"""),"")</f>
        <v/>
      </c>
      <c r="H624" s="62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ht="15.75" customHeight="1">
      <c r="A625" s="61"/>
      <c r="B625" s="61"/>
      <c r="C625" s="61"/>
      <c r="D625" s="61"/>
      <c r="E625" s="61"/>
      <c r="F625" s="61"/>
      <c r="G625" s="61" t="str">
        <f>IFERROR(__xludf.DUMMYFUNCTION("""COMPUTED_VALUE"""),"")</f>
        <v/>
      </c>
      <c r="H625" s="62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ht="15.75" customHeight="1">
      <c r="A626" s="61"/>
      <c r="B626" s="61"/>
      <c r="C626" s="61"/>
      <c r="D626" s="61"/>
      <c r="E626" s="61"/>
      <c r="F626" s="61"/>
      <c r="G626" s="61" t="str">
        <f>IFERROR(__xludf.DUMMYFUNCTION("""COMPUTED_VALUE"""),"")</f>
        <v/>
      </c>
      <c r="H626" s="62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ht="15.75" customHeight="1">
      <c r="A627" s="61"/>
      <c r="B627" s="61"/>
      <c r="C627" s="61"/>
      <c r="D627" s="61"/>
      <c r="E627" s="61"/>
      <c r="F627" s="61"/>
      <c r="G627" s="61" t="str">
        <f>IFERROR(__xludf.DUMMYFUNCTION("""COMPUTED_VALUE"""),"")</f>
        <v/>
      </c>
      <c r="H627" s="62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ht="15.75" customHeight="1">
      <c r="A628" s="61"/>
      <c r="B628" s="61"/>
      <c r="C628" s="61"/>
      <c r="D628" s="61"/>
      <c r="E628" s="61"/>
      <c r="F628" s="61"/>
      <c r="G628" s="61" t="str">
        <f>IFERROR(__xludf.DUMMYFUNCTION("""COMPUTED_VALUE"""),"")</f>
        <v/>
      </c>
      <c r="H628" s="62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ht="15.75" customHeight="1">
      <c r="A629" s="61"/>
      <c r="B629" s="61"/>
      <c r="C629" s="61"/>
      <c r="D629" s="61"/>
      <c r="E629" s="61"/>
      <c r="F629" s="61"/>
      <c r="G629" s="61" t="str">
        <f>IFERROR(__xludf.DUMMYFUNCTION("""COMPUTED_VALUE"""),"")</f>
        <v/>
      </c>
      <c r="H629" s="62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ht="15.75" customHeight="1">
      <c r="A630" s="61"/>
      <c r="B630" s="61"/>
      <c r="C630" s="61"/>
      <c r="D630" s="61"/>
      <c r="E630" s="61"/>
      <c r="F630" s="61"/>
      <c r="G630" s="61" t="str">
        <f>IFERROR(__xludf.DUMMYFUNCTION("""COMPUTED_VALUE"""),"")</f>
        <v/>
      </c>
      <c r="H630" s="62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ht="15.75" customHeight="1">
      <c r="A631" s="61"/>
      <c r="B631" s="61"/>
      <c r="C631" s="61"/>
      <c r="D631" s="61"/>
      <c r="E631" s="61"/>
      <c r="F631" s="61"/>
      <c r="G631" s="61" t="str">
        <f>IFERROR(__xludf.DUMMYFUNCTION("""COMPUTED_VALUE"""),"")</f>
        <v/>
      </c>
      <c r="H631" s="62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ht="15.75" customHeight="1">
      <c r="A632" s="61"/>
      <c r="B632" s="61"/>
      <c r="C632" s="61"/>
      <c r="D632" s="61"/>
      <c r="E632" s="61"/>
      <c r="F632" s="61"/>
      <c r="G632" s="61" t="str">
        <f>IFERROR(__xludf.DUMMYFUNCTION("""COMPUTED_VALUE"""),"")</f>
        <v/>
      </c>
      <c r="H632" s="62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ht="15.75" customHeight="1">
      <c r="A633" s="61"/>
      <c r="B633" s="61"/>
      <c r="C633" s="61"/>
      <c r="D633" s="61"/>
      <c r="E633" s="61"/>
      <c r="F633" s="61"/>
      <c r="G633" s="61" t="str">
        <f>IFERROR(__xludf.DUMMYFUNCTION("""COMPUTED_VALUE"""),"")</f>
        <v/>
      </c>
      <c r="H633" s="62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ht="15.75" customHeight="1">
      <c r="A634" s="61"/>
      <c r="B634" s="61"/>
      <c r="C634" s="61"/>
      <c r="D634" s="61"/>
      <c r="E634" s="61"/>
      <c r="F634" s="61"/>
      <c r="G634" s="61" t="str">
        <f>IFERROR(__xludf.DUMMYFUNCTION("""COMPUTED_VALUE"""),"")</f>
        <v/>
      </c>
      <c r="H634" s="62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ht="15.75" customHeight="1">
      <c r="A635" s="61"/>
      <c r="B635" s="61"/>
      <c r="C635" s="61"/>
      <c r="D635" s="61"/>
      <c r="E635" s="61"/>
      <c r="F635" s="61"/>
      <c r="G635" s="61" t="str">
        <f>IFERROR(__xludf.DUMMYFUNCTION("""COMPUTED_VALUE"""),"")</f>
        <v/>
      </c>
      <c r="H635" s="62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ht="15.75" customHeight="1">
      <c r="A636" s="61"/>
      <c r="B636" s="61"/>
      <c r="C636" s="61"/>
      <c r="D636" s="61"/>
      <c r="E636" s="61"/>
      <c r="F636" s="61"/>
      <c r="G636" s="61" t="str">
        <f>IFERROR(__xludf.DUMMYFUNCTION("""COMPUTED_VALUE"""),"")</f>
        <v/>
      </c>
      <c r="H636" s="62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ht="15.75" customHeight="1">
      <c r="A637" s="61"/>
      <c r="B637" s="61"/>
      <c r="C637" s="61"/>
      <c r="D637" s="61"/>
      <c r="E637" s="61"/>
      <c r="F637" s="61"/>
      <c r="G637" s="61" t="str">
        <f>IFERROR(__xludf.DUMMYFUNCTION("""COMPUTED_VALUE"""),"")</f>
        <v/>
      </c>
      <c r="H637" s="62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ht="15.75" customHeight="1">
      <c r="A638" s="61"/>
      <c r="B638" s="61"/>
      <c r="C638" s="61"/>
      <c r="D638" s="61"/>
      <c r="E638" s="61"/>
      <c r="F638" s="61"/>
      <c r="G638" s="61" t="str">
        <f>IFERROR(__xludf.DUMMYFUNCTION("""COMPUTED_VALUE"""),"")</f>
        <v/>
      </c>
      <c r="H638" s="62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ht="15.75" customHeight="1">
      <c r="A639" s="61"/>
      <c r="B639" s="61"/>
      <c r="C639" s="61"/>
      <c r="D639" s="61"/>
      <c r="E639" s="61"/>
      <c r="F639" s="61"/>
      <c r="G639" s="61" t="str">
        <f>IFERROR(__xludf.DUMMYFUNCTION("""COMPUTED_VALUE"""),"")</f>
        <v/>
      </c>
      <c r="H639" s="62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ht="15.75" customHeight="1">
      <c r="A640" s="61"/>
      <c r="B640" s="61"/>
      <c r="C640" s="61"/>
      <c r="D640" s="61"/>
      <c r="E640" s="61"/>
      <c r="F640" s="61"/>
      <c r="G640" s="61" t="str">
        <f>IFERROR(__xludf.DUMMYFUNCTION("""COMPUTED_VALUE"""),"")</f>
        <v/>
      </c>
      <c r="H640" s="62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ht="15.75" customHeight="1">
      <c r="A641" s="61"/>
      <c r="B641" s="61"/>
      <c r="C641" s="61"/>
      <c r="D641" s="61"/>
      <c r="E641" s="61"/>
      <c r="F641" s="61"/>
      <c r="G641" s="61" t="str">
        <f>IFERROR(__xludf.DUMMYFUNCTION("""COMPUTED_VALUE"""),"")</f>
        <v/>
      </c>
      <c r="H641" s="62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ht="15.75" customHeight="1">
      <c r="A642" s="61"/>
      <c r="B642" s="61"/>
      <c r="C642" s="61"/>
      <c r="D642" s="61"/>
      <c r="E642" s="61"/>
      <c r="F642" s="61"/>
      <c r="G642" s="61" t="str">
        <f>IFERROR(__xludf.DUMMYFUNCTION("""COMPUTED_VALUE"""),"")</f>
        <v/>
      </c>
      <c r="H642" s="62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ht="15.75" customHeight="1">
      <c r="A643" s="61"/>
      <c r="B643" s="61"/>
      <c r="C643" s="61"/>
      <c r="D643" s="61"/>
      <c r="E643" s="61"/>
      <c r="F643" s="61"/>
      <c r="G643" s="61" t="str">
        <f>IFERROR(__xludf.DUMMYFUNCTION("""COMPUTED_VALUE"""),"")</f>
        <v/>
      </c>
      <c r="H643" s="62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ht="15.75" customHeight="1">
      <c r="A644" s="61"/>
      <c r="B644" s="61"/>
      <c r="C644" s="61"/>
      <c r="D644" s="61"/>
      <c r="E644" s="61"/>
      <c r="F644" s="61"/>
      <c r="G644" s="61" t="str">
        <f>IFERROR(__xludf.DUMMYFUNCTION("""COMPUTED_VALUE"""),"")</f>
        <v/>
      </c>
      <c r="H644" s="62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ht="15.75" customHeight="1">
      <c r="A645" s="61"/>
      <c r="B645" s="61"/>
      <c r="C645" s="61"/>
      <c r="D645" s="61"/>
      <c r="E645" s="61"/>
      <c r="F645" s="61"/>
      <c r="G645" s="61" t="str">
        <f>IFERROR(__xludf.DUMMYFUNCTION("""COMPUTED_VALUE"""),"")</f>
        <v/>
      </c>
      <c r="H645" s="62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ht="15.75" customHeight="1">
      <c r="A646" s="61"/>
      <c r="B646" s="61"/>
      <c r="C646" s="61"/>
      <c r="D646" s="61"/>
      <c r="E646" s="61"/>
      <c r="F646" s="61"/>
      <c r="G646" s="61" t="str">
        <f>IFERROR(__xludf.DUMMYFUNCTION("""COMPUTED_VALUE"""),"")</f>
        <v/>
      </c>
      <c r="H646" s="62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ht="15.75" customHeight="1">
      <c r="A647" s="61"/>
      <c r="B647" s="61"/>
      <c r="C647" s="61"/>
      <c r="D647" s="61"/>
      <c r="E647" s="61"/>
      <c r="F647" s="61"/>
      <c r="G647" s="61" t="str">
        <f>IFERROR(__xludf.DUMMYFUNCTION("""COMPUTED_VALUE"""),"")</f>
        <v/>
      </c>
      <c r="H647" s="62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ht="15.75" customHeight="1">
      <c r="A648" s="61"/>
      <c r="B648" s="61"/>
      <c r="C648" s="61"/>
      <c r="D648" s="61"/>
      <c r="E648" s="61"/>
      <c r="F648" s="61"/>
      <c r="G648" s="61" t="str">
        <f>IFERROR(__xludf.DUMMYFUNCTION("""COMPUTED_VALUE"""),"")</f>
        <v/>
      </c>
      <c r="H648" s="62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ht="15.75" customHeight="1">
      <c r="A649" s="61"/>
      <c r="B649" s="61"/>
      <c r="C649" s="61"/>
      <c r="D649" s="61"/>
      <c r="E649" s="61"/>
      <c r="F649" s="61"/>
      <c r="G649" s="61" t="str">
        <f>IFERROR(__xludf.DUMMYFUNCTION("""COMPUTED_VALUE"""),"")</f>
        <v/>
      </c>
      <c r="H649" s="62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ht="15.75" customHeight="1">
      <c r="A650" s="61"/>
      <c r="B650" s="61"/>
      <c r="C650" s="61"/>
      <c r="D650" s="61"/>
      <c r="E650" s="61"/>
      <c r="F650" s="61"/>
      <c r="G650" s="61" t="str">
        <f>IFERROR(__xludf.DUMMYFUNCTION("""COMPUTED_VALUE"""),"")</f>
        <v/>
      </c>
      <c r="H650" s="62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ht="15.75" customHeight="1">
      <c r="A651" s="61"/>
      <c r="B651" s="61"/>
      <c r="C651" s="61"/>
      <c r="D651" s="61"/>
      <c r="E651" s="61"/>
      <c r="F651" s="61"/>
      <c r="G651" s="61" t="str">
        <f>IFERROR(__xludf.DUMMYFUNCTION("""COMPUTED_VALUE"""),"")</f>
        <v/>
      </c>
      <c r="H651" s="62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ht="15.75" customHeight="1">
      <c r="A652" s="61"/>
      <c r="B652" s="61"/>
      <c r="C652" s="61"/>
      <c r="D652" s="61"/>
      <c r="E652" s="61"/>
      <c r="F652" s="61"/>
      <c r="G652" s="61" t="str">
        <f>IFERROR(__xludf.DUMMYFUNCTION("""COMPUTED_VALUE"""),"")</f>
        <v/>
      </c>
      <c r="H652" s="62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ht="15.75" customHeight="1">
      <c r="A653" s="61"/>
      <c r="B653" s="61"/>
      <c r="C653" s="61"/>
      <c r="D653" s="61"/>
      <c r="E653" s="61"/>
      <c r="F653" s="61"/>
      <c r="G653" s="61" t="str">
        <f>IFERROR(__xludf.DUMMYFUNCTION("""COMPUTED_VALUE"""),"")</f>
        <v/>
      </c>
      <c r="H653" s="62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ht="15.75" customHeight="1">
      <c r="A654" s="61"/>
      <c r="B654" s="61"/>
      <c r="C654" s="61"/>
      <c r="D654" s="61"/>
      <c r="E654" s="61"/>
      <c r="F654" s="61"/>
      <c r="G654" s="61" t="str">
        <f>IFERROR(__xludf.DUMMYFUNCTION("""COMPUTED_VALUE"""),"")</f>
        <v/>
      </c>
      <c r="H654" s="62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ht="15.75" customHeight="1">
      <c r="A655" s="61"/>
      <c r="B655" s="61"/>
      <c r="C655" s="61"/>
      <c r="D655" s="61"/>
      <c r="E655" s="61"/>
      <c r="F655" s="61"/>
      <c r="G655" s="61" t="str">
        <f>IFERROR(__xludf.DUMMYFUNCTION("""COMPUTED_VALUE"""),"")</f>
        <v/>
      </c>
      <c r="H655" s="62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ht="15.75" customHeight="1">
      <c r="A656" s="61"/>
      <c r="B656" s="61"/>
      <c r="C656" s="61"/>
      <c r="D656" s="61"/>
      <c r="E656" s="61"/>
      <c r="F656" s="61"/>
      <c r="G656" s="61" t="str">
        <f>IFERROR(__xludf.DUMMYFUNCTION("""COMPUTED_VALUE"""),"")</f>
        <v/>
      </c>
      <c r="H656" s="62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ht="15.75" customHeight="1">
      <c r="A657" s="61"/>
      <c r="B657" s="61"/>
      <c r="C657" s="61"/>
      <c r="D657" s="61"/>
      <c r="E657" s="61"/>
      <c r="F657" s="61"/>
      <c r="G657" s="61" t="str">
        <f>IFERROR(__xludf.DUMMYFUNCTION("""COMPUTED_VALUE"""),"")</f>
        <v/>
      </c>
      <c r="H657" s="62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ht="15.75" customHeight="1">
      <c r="A658" s="61"/>
      <c r="B658" s="61"/>
      <c r="C658" s="61"/>
      <c r="D658" s="61"/>
      <c r="E658" s="61"/>
      <c r="F658" s="61"/>
      <c r="G658" s="61" t="str">
        <f>IFERROR(__xludf.DUMMYFUNCTION("""COMPUTED_VALUE"""),"")</f>
        <v/>
      </c>
      <c r="H658" s="62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ht="15.75" customHeight="1">
      <c r="A659" s="61"/>
      <c r="B659" s="61"/>
      <c r="C659" s="61"/>
      <c r="D659" s="61"/>
      <c r="E659" s="61"/>
      <c r="F659" s="61"/>
      <c r="G659" s="61" t="str">
        <f>IFERROR(__xludf.DUMMYFUNCTION("""COMPUTED_VALUE"""),"")</f>
        <v/>
      </c>
      <c r="H659" s="62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ht="15.75" customHeight="1">
      <c r="A660" s="61"/>
      <c r="B660" s="61"/>
      <c r="C660" s="61"/>
      <c r="D660" s="61"/>
      <c r="E660" s="61"/>
      <c r="F660" s="61"/>
      <c r="G660" s="61" t="str">
        <f>IFERROR(__xludf.DUMMYFUNCTION("""COMPUTED_VALUE"""),"")</f>
        <v/>
      </c>
      <c r="H660" s="62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ht="15.75" customHeight="1">
      <c r="A661" s="61"/>
      <c r="B661" s="61"/>
      <c r="C661" s="61"/>
      <c r="D661" s="61"/>
      <c r="E661" s="61"/>
      <c r="F661" s="61"/>
      <c r="G661" s="61" t="str">
        <f>IFERROR(__xludf.DUMMYFUNCTION("""COMPUTED_VALUE"""),"")</f>
        <v/>
      </c>
      <c r="H661" s="62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ht="15.75" customHeight="1">
      <c r="A662" s="61"/>
      <c r="B662" s="61"/>
      <c r="C662" s="61"/>
      <c r="D662" s="61"/>
      <c r="E662" s="61"/>
      <c r="F662" s="61"/>
      <c r="G662" s="61" t="str">
        <f>IFERROR(__xludf.DUMMYFUNCTION("""COMPUTED_VALUE"""),"")</f>
        <v/>
      </c>
      <c r="H662" s="62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ht="15.75" customHeight="1">
      <c r="A663" s="61"/>
      <c r="B663" s="61"/>
      <c r="C663" s="61"/>
      <c r="D663" s="61"/>
      <c r="E663" s="61"/>
      <c r="F663" s="61"/>
      <c r="G663" s="61" t="str">
        <f>IFERROR(__xludf.DUMMYFUNCTION("""COMPUTED_VALUE"""),"")</f>
        <v/>
      </c>
      <c r="H663" s="62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ht="15.75" customHeight="1">
      <c r="A664" s="61"/>
      <c r="B664" s="61"/>
      <c r="C664" s="61"/>
      <c r="D664" s="61"/>
      <c r="E664" s="61"/>
      <c r="F664" s="61"/>
      <c r="G664" s="61" t="str">
        <f>IFERROR(__xludf.DUMMYFUNCTION("""COMPUTED_VALUE"""),"")</f>
        <v/>
      </c>
      <c r="H664" s="62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ht="15.75" customHeight="1">
      <c r="A665" s="61"/>
      <c r="B665" s="61"/>
      <c r="C665" s="61"/>
      <c r="D665" s="61"/>
      <c r="E665" s="61"/>
      <c r="F665" s="61"/>
      <c r="G665" s="61" t="str">
        <f>IFERROR(__xludf.DUMMYFUNCTION("""COMPUTED_VALUE"""),"")</f>
        <v/>
      </c>
      <c r="H665" s="62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ht="15.75" customHeight="1">
      <c r="A666" s="61"/>
      <c r="B666" s="61"/>
      <c r="C666" s="61"/>
      <c r="D666" s="61"/>
      <c r="E666" s="61"/>
      <c r="F666" s="61"/>
      <c r="G666" s="61" t="str">
        <f>IFERROR(__xludf.DUMMYFUNCTION("""COMPUTED_VALUE"""),"")</f>
        <v/>
      </c>
      <c r="H666" s="62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ht="15.75" customHeight="1">
      <c r="A667" s="61"/>
      <c r="B667" s="61"/>
      <c r="C667" s="61"/>
      <c r="D667" s="61"/>
      <c r="E667" s="61"/>
      <c r="F667" s="61"/>
      <c r="G667" s="61" t="str">
        <f>IFERROR(__xludf.DUMMYFUNCTION("""COMPUTED_VALUE"""),"")</f>
        <v/>
      </c>
      <c r="H667" s="62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ht="15.75" customHeight="1">
      <c r="A668" s="61"/>
      <c r="B668" s="61"/>
      <c r="C668" s="61"/>
      <c r="D668" s="61"/>
      <c r="E668" s="61"/>
      <c r="F668" s="61"/>
      <c r="G668" s="61" t="str">
        <f>IFERROR(__xludf.DUMMYFUNCTION("""COMPUTED_VALUE"""),"")</f>
        <v/>
      </c>
      <c r="H668" s="62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ht="15.75" customHeight="1">
      <c r="A669" s="61"/>
      <c r="B669" s="61"/>
      <c r="C669" s="61"/>
      <c r="D669" s="61"/>
      <c r="E669" s="61"/>
      <c r="F669" s="61"/>
      <c r="G669" s="61" t="str">
        <f>IFERROR(__xludf.DUMMYFUNCTION("""COMPUTED_VALUE"""),"")</f>
        <v/>
      </c>
      <c r="H669" s="62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ht="15.75" customHeight="1">
      <c r="A670" s="61"/>
      <c r="B670" s="61"/>
      <c r="C670" s="61"/>
      <c r="D670" s="61"/>
      <c r="E670" s="61"/>
      <c r="F670" s="61"/>
      <c r="G670" s="61" t="str">
        <f>IFERROR(__xludf.DUMMYFUNCTION("""COMPUTED_VALUE"""),"")</f>
        <v/>
      </c>
      <c r="H670" s="62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ht="15.75" customHeight="1">
      <c r="A671" s="61"/>
      <c r="B671" s="61"/>
      <c r="C671" s="61"/>
      <c r="D671" s="61"/>
      <c r="E671" s="61"/>
      <c r="F671" s="61"/>
      <c r="G671" s="61" t="str">
        <f>IFERROR(__xludf.DUMMYFUNCTION("""COMPUTED_VALUE"""),"")</f>
        <v/>
      </c>
      <c r="H671" s="62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ht="15.75" customHeight="1">
      <c r="A672" s="61"/>
      <c r="B672" s="61"/>
      <c r="C672" s="61"/>
      <c r="D672" s="61"/>
      <c r="E672" s="61"/>
      <c r="F672" s="61"/>
      <c r="G672" s="61" t="str">
        <f>IFERROR(__xludf.DUMMYFUNCTION("""COMPUTED_VALUE"""),"")</f>
        <v/>
      </c>
      <c r="H672" s="62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ht="15.75" customHeight="1">
      <c r="A673" s="61"/>
      <c r="B673" s="61"/>
      <c r="C673" s="61"/>
      <c r="D673" s="61"/>
      <c r="E673" s="61"/>
      <c r="F673" s="61"/>
      <c r="G673" s="61" t="str">
        <f>IFERROR(__xludf.DUMMYFUNCTION("""COMPUTED_VALUE"""),"")</f>
        <v/>
      </c>
      <c r="H673" s="62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ht="15.75" customHeight="1">
      <c r="A674" s="61"/>
      <c r="B674" s="61"/>
      <c r="C674" s="61"/>
      <c r="D674" s="61"/>
      <c r="E674" s="61"/>
      <c r="F674" s="61"/>
      <c r="G674" s="61" t="str">
        <f>IFERROR(__xludf.DUMMYFUNCTION("""COMPUTED_VALUE"""),"")</f>
        <v/>
      </c>
      <c r="H674" s="62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ht="15.75" customHeight="1">
      <c r="A675" s="61"/>
      <c r="B675" s="61"/>
      <c r="C675" s="61"/>
      <c r="D675" s="61"/>
      <c r="E675" s="61"/>
      <c r="F675" s="61"/>
      <c r="G675" s="61" t="str">
        <f>IFERROR(__xludf.DUMMYFUNCTION("""COMPUTED_VALUE"""),"")</f>
        <v/>
      </c>
      <c r="H675" s="62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ht="15.75" customHeight="1">
      <c r="A676" s="61"/>
      <c r="B676" s="61"/>
      <c r="C676" s="61"/>
      <c r="D676" s="61"/>
      <c r="E676" s="61"/>
      <c r="F676" s="61"/>
      <c r="G676" s="61" t="str">
        <f>IFERROR(__xludf.DUMMYFUNCTION("""COMPUTED_VALUE"""),"")</f>
        <v/>
      </c>
      <c r="H676" s="62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ht="15.75" customHeight="1">
      <c r="A677" s="61"/>
      <c r="B677" s="61"/>
      <c r="C677" s="61"/>
      <c r="D677" s="61"/>
      <c r="E677" s="61"/>
      <c r="F677" s="61"/>
      <c r="G677" s="61" t="str">
        <f>IFERROR(__xludf.DUMMYFUNCTION("""COMPUTED_VALUE"""),"")</f>
        <v/>
      </c>
      <c r="H677" s="62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ht="15.75" customHeight="1">
      <c r="A678" s="61"/>
      <c r="B678" s="61"/>
      <c r="C678" s="61"/>
      <c r="D678" s="61"/>
      <c r="E678" s="61"/>
      <c r="F678" s="61"/>
      <c r="G678" s="61" t="str">
        <f>IFERROR(__xludf.DUMMYFUNCTION("""COMPUTED_VALUE"""),"")</f>
        <v/>
      </c>
      <c r="H678" s="62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ht="15.75" customHeight="1">
      <c r="A679" s="61"/>
      <c r="B679" s="61"/>
      <c r="C679" s="61"/>
      <c r="D679" s="61"/>
      <c r="E679" s="61"/>
      <c r="F679" s="61"/>
      <c r="G679" s="61" t="str">
        <f>IFERROR(__xludf.DUMMYFUNCTION("""COMPUTED_VALUE"""),"")</f>
        <v/>
      </c>
      <c r="H679" s="62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ht="15.75" customHeight="1">
      <c r="A680" s="61"/>
      <c r="B680" s="61"/>
      <c r="C680" s="61"/>
      <c r="D680" s="61"/>
      <c r="E680" s="61"/>
      <c r="F680" s="61"/>
      <c r="G680" s="61" t="str">
        <f>IFERROR(__xludf.DUMMYFUNCTION("""COMPUTED_VALUE"""),"")</f>
        <v/>
      </c>
      <c r="H680" s="62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ht="15.75" customHeight="1">
      <c r="A681" s="61"/>
      <c r="B681" s="61"/>
      <c r="C681" s="61"/>
      <c r="D681" s="61"/>
      <c r="E681" s="61"/>
      <c r="F681" s="61"/>
      <c r="G681" s="61" t="str">
        <f>IFERROR(__xludf.DUMMYFUNCTION("""COMPUTED_VALUE"""),"")</f>
        <v/>
      </c>
      <c r="H681" s="62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ht="15.75" customHeight="1">
      <c r="A682" s="61"/>
      <c r="B682" s="61"/>
      <c r="C682" s="61"/>
      <c r="D682" s="61"/>
      <c r="E682" s="61"/>
      <c r="F682" s="61"/>
      <c r="G682" s="61" t="str">
        <f>IFERROR(__xludf.DUMMYFUNCTION("""COMPUTED_VALUE"""),"")</f>
        <v/>
      </c>
      <c r="H682" s="62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ht="15.75" customHeight="1">
      <c r="A683" s="61"/>
      <c r="B683" s="61"/>
      <c r="C683" s="61"/>
      <c r="D683" s="61"/>
      <c r="E683" s="61"/>
      <c r="F683" s="61"/>
      <c r="G683" s="61" t="str">
        <f>IFERROR(__xludf.DUMMYFUNCTION("""COMPUTED_VALUE"""),"")</f>
        <v/>
      </c>
      <c r="H683" s="62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ht="15.75" customHeight="1">
      <c r="A684" s="61"/>
      <c r="B684" s="61"/>
      <c r="C684" s="61"/>
      <c r="D684" s="61"/>
      <c r="E684" s="61"/>
      <c r="F684" s="61"/>
      <c r="G684" s="61" t="str">
        <f>IFERROR(__xludf.DUMMYFUNCTION("""COMPUTED_VALUE"""),"")</f>
        <v/>
      </c>
      <c r="H684" s="62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ht="15.75" customHeight="1">
      <c r="A685" s="61"/>
      <c r="B685" s="61"/>
      <c r="C685" s="61"/>
      <c r="D685" s="61"/>
      <c r="E685" s="61"/>
      <c r="F685" s="61"/>
      <c r="G685" s="61" t="str">
        <f>IFERROR(__xludf.DUMMYFUNCTION("""COMPUTED_VALUE"""),"")</f>
        <v/>
      </c>
      <c r="H685" s="62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ht="15.75" customHeight="1">
      <c r="A686" s="61"/>
      <c r="B686" s="61"/>
      <c r="C686" s="61"/>
      <c r="D686" s="61"/>
      <c r="E686" s="61"/>
      <c r="F686" s="61"/>
      <c r="G686" s="61" t="str">
        <f>IFERROR(__xludf.DUMMYFUNCTION("""COMPUTED_VALUE"""),"")</f>
        <v/>
      </c>
      <c r="H686" s="62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ht="15.75" customHeight="1">
      <c r="A687" s="61"/>
      <c r="B687" s="61"/>
      <c r="C687" s="61"/>
      <c r="D687" s="61"/>
      <c r="E687" s="61"/>
      <c r="F687" s="61"/>
      <c r="G687" s="61" t="str">
        <f>IFERROR(__xludf.DUMMYFUNCTION("""COMPUTED_VALUE"""),"")</f>
        <v/>
      </c>
      <c r="H687" s="62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ht="15.75" customHeight="1">
      <c r="A688" s="61"/>
      <c r="B688" s="61"/>
      <c r="C688" s="61"/>
      <c r="D688" s="61"/>
      <c r="E688" s="61"/>
      <c r="F688" s="61"/>
      <c r="G688" s="61" t="str">
        <f>IFERROR(__xludf.DUMMYFUNCTION("""COMPUTED_VALUE"""),"")</f>
        <v/>
      </c>
      <c r="H688" s="62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ht="15.75" customHeight="1">
      <c r="A689" s="61"/>
      <c r="B689" s="61"/>
      <c r="C689" s="61"/>
      <c r="D689" s="61"/>
      <c r="E689" s="61"/>
      <c r="F689" s="61"/>
      <c r="G689" s="61" t="str">
        <f>IFERROR(__xludf.DUMMYFUNCTION("""COMPUTED_VALUE"""),"")</f>
        <v/>
      </c>
      <c r="H689" s="62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ht="15.75" customHeight="1">
      <c r="A690" s="61"/>
      <c r="B690" s="61"/>
      <c r="C690" s="61"/>
      <c r="D690" s="61"/>
      <c r="E690" s="61"/>
      <c r="F690" s="61"/>
      <c r="G690" s="61" t="str">
        <f>IFERROR(__xludf.DUMMYFUNCTION("""COMPUTED_VALUE"""),"")</f>
        <v/>
      </c>
      <c r="H690" s="62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ht="15.75" customHeight="1">
      <c r="A691" s="61"/>
      <c r="B691" s="61"/>
      <c r="C691" s="61"/>
      <c r="D691" s="61"/>
      <c r="E691" s="61"/>
      <c r="F691" s="61"/>
      <c r="G691" s="61" t="str">
        <f>IFERROR(__xludf.DUMMYFUNCTION("""COMPUTED_VALUE"""),"")</f>
        <v/>
      </c>
      <c r="H691" s="62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ht="15.75" customHeight="1">
      <c r="A692" s="61"/>
      <c r="B692" s="61"/>
      <c r="C692" s="61"/>
      <c r="D692" s="61"/>
      <c r="E692" s="61"/>
      <c r="F692" s="61"/>
      <c r="G692" s="61" t="str">
        <f>IFERROR(__xludf.DUMMYFUNCTION("""COMPUTED_VALUE"""),"")</f>
        <v/>
      </c>
      <c r="H692" s="62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ht="15.75" customHeight="1">
      <c r="A693" s="61"/>
      <c r="B693" s="61"/>
      <c r="C693" s="61"/>
      <c r="D693" s="61"/>
      <c r="E693" s="61"/>
      <c r="F693" s="61"/>
      <c r="G693" s="61" t="str">
        <f>IFERROR(__xludf.DUMMYFUNCTION("""COMPUTED_VALUE"""),"")</f>
        <v/>
      </c>
      <c r="H693" s="62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ht="15.75" customHeight="1">
      <c r="A694" s="61"/>
      <c r="B694" s="61"/>
      <c r="C694" s="61"/>
      <c r="D694" s="61"/>
      <c r="E694" s="61"/>
      <c r="F694" s="61"/>
      <c r="G694" s="61" t="str">
        <f>IFERROR(__xludf.DUMMYFUNCTION("""COMPUTED_VALUE"""),"")</f>
        <v/>
      </c>
      <c r="H694" s="62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ht="15.75" customHeight="1">
      <c r="A695" s="61"/>
      <c r="B695" s="61"/>
      <c r="C695" s="61"/>
      <c r="D695" s="61"/>
      <c r="E695" s="61"/>
      <c r="F695" s="61"/>
      <c r="G695" s="61" t="str">
        <f>IFERROR(__xludf.DUMMYFUNCTION("""COMPUTED_VALUE"""),"")</f>
        <v/>
      </c>
      <c r="H695" s="62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ht="15.75" customHeight="1">
      <c r="A696" s="61"/>
      <c r="B696" s="61"/>
      <c r="C696" s="61"/>
      <c r="D696" s="61"/>
      <c r="E696" s="61"/>
      <c r="F696" s="61"/>
      <c r="G696" s="61" t="str">
        <f>IFERROR(__xludf.DUMMYFUNCTION("""COMPUTED_VALUE"""),"")</f>
        <v/>
      </c>
      <c r="H696" s="62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ht="15.75" customHeight="1">
      <c r="A697" s="61"/>
      <c r="B697" s="61"/>
      <c r="C697" s="61"/>
      <c r="D697" s="61"/>
      <c r="E697" s="61"/>
      <c r="F697" s="61"/>
      <c r="G697" s="61" t="str">
        <f>IFERROR(__xludf.DUMMYFUNCTION("""COMPUTED_VALUE"""),"")</f>
        <v/>
      </c>
      <c r="H697" s="62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ht="15.75" customHeight="1">
      <c r="A698" s="61"/>
      <c r="B698" s="61"/>
      <c r="C698" s="61"/>
      <c r="D698" s="61"/>
      <c r="E698" s="61"/>
      <c r="F698" s="61"/>
      <c r="G698" s="61" t="str">
        <f>IFERROR(__xludf.DUMMYFUNCTION("""COMPUTED_VALUE"""),"")</f>
        <v/>
      </c>
      <c r="H698" s="62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ht="15.75" customHeight="1">
      <c r="A699" s="61"/>
      <c r="B699" s="61"/>
      <c r="C699" s="61"/>
      <c r="D699" s="61"/>
      <c r="E699" s="61"/>
      <c r="F699" s="61"/>
      <c r="G699" s="61" t="str">
        <f>IFERROR(__xludf.DUMMYFUNCTION("""COMPUTED_VALUE"""),"")</f>
        <v/>
      </c>
      <c r="H699" s="62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ht="15.75" customHeight="1">
      <c r="A700" s="61"/>
      <c r="B700" s="61"/>
      <c r="C700" s="61"/>
      <c r="D700" s="61"/>
      <c r="E700" s="61"/>
      <c r="F700" s="61"/>
      <c r="G700" s="61" t="str">
        <f>IFERROR(__xludf.DUMMYFUNCTION("""COMPUTED_VALUE"""),"")</f>
        <v/>
      </c>
      <c r="H700" s="62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ht="15.75" customHeight="1">
      <c r="A701" s="61"/>
      <c r="B701" s="61"/>
      <c r="C701" s="61"/>
      <c r="D701" s="61"/>
      <c r="E701" s="61"/>
      <c r="F701" s="61"/>
      <c r="G701" s="61" t="str">
        <f>IFERROR(__xludf.DUMMYFUNCTION("""COMPUTED_VALUE"""),"")</f>
        <v/>
      </c>
      <c r="H701" s="62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ht="15.75" customHeight="1">
      <c r="A702" s="61"/>
      <c r="B702" s="61"/>
      <c r="C702" s="61"/>
      <c r="D702" s="61"/>
      <c r="E702" s="61"/>
      <c r="F702" s="61"/>
      <c r="G702" s="61" t="str">
        <f>IFERROR(__xludf.DUMMYFUNCTION("""COMPUTED_VALUE"""),"")</f>
        <v/>
      </c>
      <c r="H702" s="62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ht="15.75" customHeight="1">
      <c r="A703" s="61"/>
      <c r="B703" s="61"/>
      <c r="C703" s="61"/>
      <c r="D703" s="61"/>
      <c r="E703" s="61"/>
      <c r="F703" s="61"/>
      <c r="G703" s="61" t="str">
        <f>IFERROR(__xludf.DUMMYFUNCTION("""COMPUTED_VALUE"""),"")</f>
        <v/>
      </c>
      <c r="H703" s="62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ht="15.75" customHeight="1">
      <c r="A704" s="61"/>
      <c r="B704" s="61"/>
      <c r="C704" s="61"/>
      <c r="D704" s="61"/>
      <c r="E704" s="61"/>
      <c r="F704" s="61"/>
      <c r="G704" s="61" t="str">
        <f>IFERROR(__xludf.DUMMYFUNCTION("""COMPUTED_VALUE"""),"")</f>
        <v/>
      </c>
      <c r="H704" s="62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ht="15.75" customHeight="1">
      <c r="A705" s="61"/>
      <c r="B705" s="61"/>
      <c r="C705" s="61"/>
      <c r="D705" s="61"/>
      <c r="E705" s="61"/>
      <c r="F705" s="61"/>
      <c r="G705" s="61" t="str">
        <f>IFERROR(__xludf.DUMMYFUNCTION("""COMPUTED_VALUE"""),"")</f>
        <v/>
      </c>
      <c r="H705" s="62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ht="15.75" customHeight="1">
      <c r="A706" s="61"/>
      <c r="B706" s="61"/>
      <c r="C706" s="61"/>
      <c r="D706" s="61"/>
      <c r="E706" s="61"/>
      <c r="F706" s="61"/>
      <c r="G706" s="61" t="str">
        <f>IFERROR(__xludf.DUMMYFUNCTION("""COMPUTED_VALUE"""),"")</f>
        <v/>
      </c>
      <c r="H706" s="62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ht="15.75" customHeight="1">
      <c r="A707" s="61"/>
      <c r="B707" s="61"/>
      <c r="C707" s="61"/>
      <c r="D707" s="61"/>
      <c r="E707" s="61"/>
      <c r="F707" s="61"/>
      <c r="G707" s="61" t="str">
        <f>IFERROR(__xludf.DUMMYFUNCTION("""COMPUTED_VALUE"""),"")</f>
        <v/>
      </c>
      <c r="H707" s="62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ht="15.75" customHeight="1">
      <c r="A708" s="61"/>
      <c r="B708" s="61"/>
      <c r="C708" s="61"/>
      <c r="D708" s="61"/>
      <c r="E708" s="61"/>
      <c r="F708" s="61"/>
      <c r="G708" s="61" t="str">
        <f>IFERROR(__xludf.DUMMYFUNCTION("""COMPUTED_VALUE"""),"")</f>
        <v/>
      </c>
      <c r="H708" s="62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ht="15.75" customHeight="1">
      <c r="A709" s="61"/>
      <c r="B709" s="61"/>
      <c r="C709" s="61"/>
      <c r="D709" s="61"/>
      <c r="E709" s="61"/>
      <c r="F709" s="61"/>
      <c r="G709" s="61" t="str">
        <f>IFERROR(__xludf.DUMMYFUNCTION("""COMPUTED_VALUE"""),"")</f>
        <v/>
      </c>
      <c r="H709" s="62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ht="15.75" customHeight="1">
      <c r="A710" s="61"/>
      <c r="B710" s="61"/>
      <c r="C710" s="61"/>
      <c r="D710" s="61"/>
      <c r="E710" s="61"/>
      <c r="F710" s="61"/>
      <c r="G710" s="61" t="str">
        <f>IFERROR(__xludf.DUMMYFUNCTION("""COMPUTED_VALUE"""),"")</f>
        <v/>
      </c>
      <c r="H710" s="62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ht="15.75" customHeight="1">
      <c r="A711" s="61"/>
      <c r="B711" s="61"/>
      <c r="C711" s="61"/>
      <c r="D711" s="61"/>
      <c r="E711" s="61"/>
      <c r="F711" s="61"/>
      <c r="G711" s="61" t="str">
        <f>IFERROR(__xludf.DUMMYFUNCTION("""COMPUTED_VALUE"""),"")</f>
        <v/>
      </c>
      <c r="H711" s="62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ht="15.75" customHeight="1">
      <c r="A712" s="61"/>
      <c r="B712" s="61"/>
      <c r="C712" s="61"/>
      <c r="D712" s="61"/>
      <c r="E712" s="61"/>
      <c r="F712" s="61"/>
      <c r="G712" s="61" t="str">
        <f>IFERROR(__xludf.DUMMYFUNCTION("""COMPUTED_VALUE"""),"")</f>
        <v/>
      </c>
      <c r="H712" s="62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ht="15.75" customHeight="1">
      <c r="A713" s="61"/>
      <c r="B713" s="61"/>
      <c r="C713" s="61"/>
      <c r="D713" s="61"/>
      <c r="E713" s="61"/>
      <c r="F713" s="61"/>
      <c r="G713" s="61" t="str">
        <f>IFERROR(__xludf.DUMMYFUNCTION("""COMPUTED_VALUE"""),"")</f>
        <v/>
      </c>
      <c r="H713" s="62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ht="15.75" customHeight="1">
      <c r="A714" s="61"/>
      <c r="B714" s="61"/>
      <c r="C714" s="61"/>
      <c r="D714" s="61"/>
      <c r="E714" s="61"/>
      <c r="F714" s="61"/>
      <c r="G714" s="61" t="str">
        <f>IFERROR(__xludf.DUMMYFUNCTION("""COMPUTED_VALUE"""),"")</f>
        <v/>
      </c>
      <c r="H714" s="62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ht="15.75" customHeight="1">
      <c r="A715" s="61"/>
      <c r="B715" s="61"/>
      <c r="C715" s="61"/>
      <c r="D715" s="61"/>
      <c r="E715" s="61"/>
      <c r="F715" s="61"/>
      <c r="G715" s="61" t="str">
        <f>IFERROR(__xludf.DUMMYFUNCTION("""COMPUTED_VALUE"""),"")</f>
        <v/>
      </c>
      <c r="H715" s="62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ht="15.75" customHeight="1">
      <c r="A716" s="61"/>
      <c r="B716" s="61"/>
      <c r="C716" s="61"/>
      <c r="D716" s="61"/>
      <c r="E716" s="61"/>
      <c r="F716" s="61"/>
      <c r="G716" s="61" t="str">
        <f>IFERROR(__xludf.DUMMYFUNCTION("""COMPUTED_VALUE"""),"")</f>
        <v/>
      </c>
      <c r="H716" s="62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ht="15.75" customHeight="1">
      <c r="A717" s="61"/>
      <c r="B717" s="61"/>
      <c r="C717" s="61"/>
      <c r="D717" s="61"/>
      <c r="E717" s="61"/>
      <c r="F717" s="61"/>
      <c r="G717" s="61" t="str">
        <f>IFERROR(__xludf.DUMMYFUNCTION("""COMPUTED_VALUE"""),"")</f>
        <v/>
      </c>
      <c r="H717" s="62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ht="15.75" customHeight="1">
      <c r="A718" s="61"/>
      <c r="B718" s="61"/>
      <c r="C718" s="61"/>
      <c r="D718" s="61"/>
      <c r="E718" s="61"/>
      <c r="F718" s="61"/>
      <c r="G718" s="61" t="str">
        <f>IFERROR(__xludf.DUMMYFUNCTION("""COMPUTED_VALUE"""),"")</f>
        <v/>
      </c>
      <c r="H718" s="62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ht="15.75" customHeight="1">
      <c r="A719" s="61"/>
      <c r="B719" s="61"/>
      <c r="C719" s="61"/>
      <c r="D719" s="61"/>
      <c r="E719" s="61"/>
      <c r="F719" s="61"/>
      <c r="G719" s="61" t="str">
        <f>IFERROR(__xludf.DUMMYFUNCTION("""COMPUTED_VALUE"""),"")</f>
        <v/>
      </c>
      <c r="H719" s="62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ht="15.75" customHeight="1">
      <c r="A720" s="61"/>
      <c r="B720" s="61"/>
      <c r="C720" s="61"/>
      <c r="D720" s="61"/>
      <c r="E720" s="61"/>
      <c r="F720" s="61"/>
      <c r="G720" s="61" t="str">
        <f>IFERROR(__xludf.DUMMYFUNCTION("""COMPUTED_VALUE"""),"")</f>
        <v/>
      </c>
      <c r="H720" s="62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ht="15.75" customHeight="1">
      <c r="A721" s="61"/>
      <c r="B721" s="61"/>
      <c r="C721" s="61"/>
      <c r="D721" s="61"/>
      <c r="E721" s="61"/>
      <c r="F721" s="61"/>
      <c r="G721" s="61" t="str">
        <f>IFERROR(__xludf.DUMMYFUNCTION("""COMPUTED_VALUE"""),"")</f>
        <v/>
      </c>
      <c r="H721" s="62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ht="15.75" customHeight="1">
      <c r="A722" s="61"/>
      <c r="B722" s="61"/>
      <c r="C722" s="61"/>
      <c r="D722" s="61"/>
      <c r="E722" s="61"/>
      <c r="F722" s="61"/>
      <c r="G722" s="61" t="str">
        <f>IFERROR(__xludf.DUMMYFUNCTION("""COMPUTED_VALUE"""),"")</f>
        <v/>
      </c>
      <c r="H722" s="62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ht="15.75" customHeight="1">
      <c r="A723" s="61"/>
      <c r="B723" s="61"/>
      <c r="C723" s="61"/>
      <c r="D723" s="61"/>
      <c r="E723" s="61"/>
      <c r="F723" s="61"/>
      <c r="G723" s="61" t="str">
        <f>IFERROR(__xludf.DUMMYFUNCTION("""COMPUTED_VALUE"""),"")</f>
        <v/>
      </c>
      <c r="H723" s="62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ht="15.75" customHeight="1">
      <c r="A724" s="61"/>
      <c r="B724" s="61"/>
      <c r="C724" s="61"/>
      <c r="D724" s="61"/>
      <c r="E724" s="61"/>
      <c r="F724" s="61"/>
      <c r="G724" s="61" t="str">
        <f>IFERROR(__xludf.DUMMYFUNCTION("""COMPUTED_VALUE"""),"")</f>
        <v/>
      </c>
      <c r="H724" s="62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ht="15.75" customHeight="1">
      <c r="A725" s="61"/>
      <c r="B725" s="61"/>
      <c r="C725" s="61"/>
      <c r="D725" s="61"/>
      <c r="E725" s="61"/>
      <c r="F725" s="61"/>
      <c r="G725" s="61" t="str">
        <f>IFERROR(__xludf.DUMMYFUNCTION("""COMPUTED_VALUE"""),"")</f>
        <v/>
      </c>
      <c r="H725" s="62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ht="15.75" customHeight="1">
      <c r="A726" s="61"/>
      <c r="B726" s="61"/>
      <c r="C726" s="61"/>
      <c r="D726" s="61"/>
      <c r="E726" s="61"/>
      <c r="F726" s="61"/>
      <c r="G726" s="61" t="str">
        <f>IFERROR(__xludf.DUMMYFUNCTION("""COMPUTED_VALUE"""),"")</f>
        <v/>
      </c>
      <c r="H726" s="62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ht="15.75" customHeight="1">
      <c r="A727" s="61"/>
      <c r="B727" s="61"/>
      <c r="C727" s="61"/>
      <c r="D727" s="61"/>
      <c r="E727" s="61"/>
      <c r="F727" s="61"/>
      <c r="G727" s="61" t="str">
        <f>IFERROR(__xludf.DUMMYFUNCTION("""COMPUTED_VALUE"""),"")</f>
        <v/>
      </c>
      <c r="H727" s="62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ht="15.75" customHeight="1">
      <c r="A728" s="61"/>
      <c r="B728" s="61"/>
      <c r="C728" s="61"/>
      <c r="D728" s="61"/>
      <c r="E728" s="61"/>
      <c r="F728" s="61"/>
      <c r="G728" s="61" t="str">
        <f>IFERROR(__xludf.DUMMYFUNCTION("""COMPUTED_VALUE"""),"")</f>
        <v/>
      </c>
      <c r="H728" s="62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ht="15.75" customHeight="1">
      <c r="A729" s="61"/>
      <c r="B729" s="61"/>
      <c r="C729" s="61"/>
      <c r="D729" s="61"/>
      <c r="E729" s="61"/>
      <c r="F729" s="61"/>
      <c r="G729" s="61" t="str">
        <f>IFERROR(__xludf.DUMMYFUNCTION("""COMPUTED_VALUE"""),"")</f>
        <v/>
      </c>
      <c r="H729" s="62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ht="15.75" customHeight="1">
      <c r="A730" s="61"/>
      <c r="B730" s="61"/>
      <c r="C730" s="61"/>
      <c r="D730" s="61"/>
      <c r="E730" s="61"/>
      <c r="F730" s="61"/>
      <c r="G730" s="61" t="str">
        <f>IFERROR(__xludf.DUMMYFUNCTION("""COMPUTED_VALUE"""),"")</f>
        <v/>
      </c>
      <c r="H730" s="62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ht="15.75" customHeight="1">
      <c r="A731" s="61"/>
      <c r="B731" s="61"/>
      <c r="C731" s="61"/>
      <c r="D731" s="61"/>
      <c r="E731" s="61"/>
      <c r="F731" s="61"/>
      <c r="G731" s="61" t="str">
        <f>IFERROR(__xludf.DUMMYFUNCTION("""COMPUTED_VALUE"""),"")</f>
        <v/>
      </c>
      <c r="H731" s="62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ht="15.75" customHeight="1">
      <c r="A732" s="61"/>
      <c r="B732" s="61"/>
      <c r="C732" s="61"/>
      <c r="D732" s="61"/>
      <c r="E732" s="61"/>
      <c r="F732" s="61"/>
      <c r="G732" s="61" t="str">
        <f>IFERROR(__xludf.DUMMYFUNCTION("""COMPUTED_VALUE"""),"")</f>
        <v/>
      </c>
      <c r="H732" s="62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ht="15.75" customHeight="1">
      <c r="A733" s="61"/>
      <c r="B733" s="61"/>
      <c r="C733" s="61"/>
      <c r="D733" s="61"/>
      <c r="E733" s="61"/>
      <c r="F733" s="61"/>
      <c r="G733" s="61" t="str">
        <f>IFERROR(__xludf.DUMMYFUNCTION("""COMPUTED_VALUE"""),"")</f>
        <v/>
      </c>
      <c r="H733" s="62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ht="15.75" customHeight="1">
      <c r="A734" s="61"/>
      <c r="B734" s="61"/>
      <c r="C734" s="61"/>
      <c r="D734" s="61"/>
      <c r="E734" s="61"/>
      <c r="F734" s="61"/>
      <c r="G734" s="61" t="str">
        <f>IFERROR(__xludf.DUMMYFUNCTION("""COMPUTED_VALUE"""),"")</f>
        <v/>
      </c>
      <c r="H734" s="62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ht="15.75" customHeight="1">
      <c r="A735" s="61"/>
      <c r="B735" s="61"/>
      <c r="C735" s="61"/>
      <c r="D735" s="61"/>
      <c r="E735" s="61"/>
      <c r="F735" s="61"/>
      <c r="G735" s="61" t="str">
        <f>IFERROR(__xludf.DUMMYFUNCTION("""COMPUTED_VALUE"""),"")</f>
        <v/>
      </c>
      <c r="H735" s="62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ht="15.75" customHeight="1">
      <c r="A736" s="61"/>
      <c r="B736" s="61"/>
      <c r="C736" s="61"/>
      <c r="D736" s="61"/>
      <c r="E736" s="61"/>
      <c r="F736" s="61"/>
      <c r="G736" s="61" t="str">
        <f>IFERROR(__xludf.DUMMYFUNCTION("""COMPUTED_VALUE"""),"")</f>
        <v/>
      </c>
      <c r="H736" s="62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ht="15.75" customHeight="1">
      <c r="A737" s="61"/>
      <c r="B737" s="61"/>
      <c r="C737" s="61"/>
      <c r="D737" s="61"/>
      <c r="E737" s="61"/>
      <c r="F737" s="61"/>
      <c r="G737" s="61" t="str">
        <f>IFERROR(__xludf.DUMMYFUNCTION("""COMPUTED_VALUE"""),"")</f>
        <v/>
      </c>
      <c r="H737" s="62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ht="15.75" customHeight="1">
      <c r="A738" s="61"/>
      <c r="B738" s="61"/>
      <c r="C738" s="61"/>
      <c r="D738" s="61"/>
      <c r="E738" s="61"/>
      <c r="F738" s="61"/>
      <c r="G738" s="61" t="str">
        <f>IFERROR(__xludf.DUMMYFUNCTION("""COMPUTED_VALUE"""),"")</f>
        <v/>
      </c>
      <c r="H738" s="62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ht="15.75" customHeight="1">
      <c r="A739" s="61"/>
      <c r="B739" s="61"/>
      <c r="C739" s="61"/>
      <c r="D739" s="61"/>
      <c r="E739" s="61"/>
      <c r="F739" s="61"/>
      <c r="G739" s="61" t="str">
        <f>IFERROR(__xludf.DUMMYFUNCTION("""COMPUTED_VALUE"""),"")</f>
        <v/>
      </c>
      <c r="H739" s="62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ht="15.75" customHeight="1">
      <c r="A740" s="61"/>
      <c r="B740" s="61"/>
      <c r="C740" s="61"/>
      <c r="D740" s="61"/>
      <c r="E740" s="61"/>
      <c r="F740" s="61"/>
      <c r="G740" s="61" t="str">
        <f>IFERROR(__xludf.DUMMYFUNCTION("""COMPUTED_VALUE"""),"")</f>
        <v/>
      </c>
      <c r="H740" s="62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ht="15.75" customHeight="1">
      <c r="A741" s="61"/>
      <c r="B741" s="61"/>
      <c r="C741" s="61"/>
      <c r="D741" s="61"/>
      <c r="E741" s="61"/>
      <c r="F741" s="61"/>
      <c r="G741" s="61" t="str">
        <f>IFERROR(__xludf.DUMMYFUNCTION("""COMPUTED_VALUE"""),"")</f>
        <v/>
      </c>
      <c r="H741" s="62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ht="15.75" customHeight="1">
      <c r="A742" s="61"/>
      <c r="B742" s="61"/>
      <c r="C742" s="61"/>
      <c r="D742" s="61"/>
      <c r="E742" s="61"/>
      <c r="F742" s="61"/>
      <c r="G742" s="61" t="str">
        <f>IFERROR(__xludf.DUMMYFUNCTION("""COMPUTED_VALUE"""),"")</f>
        <v/>
      </c>
      <c r="H742" s="62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ht="15.75" customHeight="1">
      <c r="A743" s="61"/>
      <c r="B743" s="61"/>
      <c r="C743" s="61"/>
      <c r="D743" s="61"/>
      <c r="E743" s="61"/>
      <c r="F743" s="61"/>
      <c r="G743" s="61" t="str">
        <f>IFERROR(__xludf.DUMMYFUNCTION("""COMPUTED_VALUE"""),"")</f>
        <v/>
      </c>
      <c r="H743" s="62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ht="15.75" customHeight="1">
      <c r="A744" s="61"/>
      <c r="B744" s="61"/>
      <c r="C744" s="61"/>
      <c r="D744" s="61"/>
      <c r="E744" s="61"/>
      <c r="F744" s="61"/>
      <c r="G744" s="61" t="str">
        <f>IFERROR(__xludf.DUMMYFUNCTION("""COMPUTED_VALUE"""),"")</f>
        <v/>
      </c>
      <c r="H744" s="62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ht="15.75" customHeight="1">
      <c r="A745" s="61"/>
      <c r="B745" s="61"/>
      <c r="C745" s="61"/>
      <c r="D745" s="61"/>
      <c r="E745" s="61"/>
      <c r="F745" s="61"/>
      <c r="G745" s="61" t="str">
        <f>IFERROR(__xludf.DUMMYFUNCTION("""COMPUTED_VALUE"""),"")</f>
        <v/>
      </c>
      <c r="H745" s="62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ht="15.75" customHeight="1">
      <c r="A746" s="61"/>
      <c r="B746" s="61"/>
      <c r="C746" s="61"/>
      <c r="D746" s="61"/>
      <c r="E746" s="61"/>
      <c r="F746" s="61"/>
      <c r="G746" s="61" t="str">
        <f>IFERROR(__xludf.DUMMYFUNCTION("""COMPUTED_VALUE"""),"")</f>
        <v/>
      </c>
      <c r="H746" s="62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ht="15.75" customHeight="1">
      <c r="A747" s="61"/>
      <c r="B747" s="61"/>
      <c r="C747" s="61"/>
      <c r="D747" s="61"/>
      <c r="E747" s="61"/>
      <c r="F747" s="61"/>
      <c r="G747" s="61" t="str">
        <f>IFERROR(__xludf.DUMMYFUNCTION("""COMPUTED_VALUE"""),"")</f>
        <v/>
      </c>
      <c r="H747" s="62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ht="15.75" customHeight="1">
      <c r="A748" s="61"/>
      <c r="B748" s="61"/>
      <c r="C748" s="61"/>
      <c r="D748" s="61"/>
      <c r="E748" s="61"/>
      <c r="F748" s="61"/>
      <c r="G748" s="61" t="str">
        <f>IFERROR(__xludf.DUMMYFUNCTION("""COMPUTED_VALUE"""),"")</f>
        <v/>
      </c>
      <c r="H748" s="62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ht="15.75" customHeight="1">
      <c r="A749" s="61"/>
      <c r="B749" s="61"/>
      <c r="C749" s="61"/>
      <c r="D749" s="61"/>
      <c r="E749" s="61"/>
      <c r="F749" s="61"/>
      <c r="G749" s="61" t="str">
        <f>IFERROR(__xludf.DUMMYFUNCTION("""COMPUTED_VALUE"""),"")</f>
        <v/>
      </c>
      <c r="H749" s="62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ht="15.75" customHeight="1">
      <c r="A750" s="61"/>
      <c r="B750" s="61"/>
      <c r="C750" s="61"/>
      <c r="D750" s="61"/>
      <c r="E750" s="61"/>
      <c r="F750" s="61"/>
      <c r="G750" s="61" t="str">
        <f>IFERROR(__xludf.DUMMYFUNCTION("""COMPUTED_VALUE"""),"")</f>
        <v/>
      </c>
      <c r="H750" s="62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ht="15.75" customHeight="1">
      <c r="A751" s="61"/>
      <c r="B751" s="61"/>
      <c r="C751" s="61"/>
      <c r="D751" s="61"/>
      <c r="E751" s="61"/>
      <c r="F751" s="61"/>
      <c r="G751" s="61" t="str">
        <f>IFERROR(__xludf.DUMMYFUNCTION("""COMPUTED_VALUE"""),"")</f>
        <v/>
      </c>
      <c r="H751" s="62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ht="15.75" customHeight="1">
      <c r="A752" s="61"/>
      <c r="B752" s="61"/>
      <c r="C752" s="61"/>
      <c r="D752" s="61"/>
      <c r="E752" s="61"/>
      <c r="F752" s="61"/>
      <c r="G752" s="61" t="str">
        <f>IFERROR(__xludf.DUMMYFUNCTION("""COMPUTED_VALUE"""),"")</f>
        <v/>
      </c>
      <c r="H752" s="62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ht="15.75" customHeight="1">
      <c r="A753" s="61"/>
      <c r="B753" s="61"/>
      <c r="C753" s="61"/>
      <c r="D753" s="61"/>
      <c r="E753" s="61"/>
      <c r="F753" s="61"/>
      <c r="G753" s="61" t="str">
        <f>IFERROR(__xludf.DUMMYFUNCTION("""COMPUTED_VALUE"""),"")</f>
        <v/>
      </c>
      <c r="H753" s="62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ht="15.75" customHeight="1">
      <c r="A754" s="61"/>
      <c r="B754" s="61"/>
      <c r="C754" s="61"/>
      <c r="D754" s="61"/>
      <c r="E754" s="61"/>
      <c r="F754" s="61"/>
      <c r="G754" s="61" t="str">
        <f>IFERROR(__xludf.DUMMYFUNCTION("""COMPUTED_VALUE"""),"")</f>
        <v/>
      </c>
      <c r="H754" s="62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ht="15.75" customHeight="1">
      <c r="A755" s="61"/>
      <c r="B755" s="61"/>
      <c r="C755" s="61"/>
      <c r="D755" s="61"/>
      <c r="E755" s="61"/>
      <c r="F755" s="61"/>
      <c r="G755" s="61" t="str">
        <f>IFERROR(__xludf.DUMMYFUNCTION("""COMPUTED_VALUE"""),"")</f>
        <v/>
      </c>
      <c r="H755" s="62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ht="15.75" customHeight="1">
      <c r="A756" s="61"/>
      <c r="B756" s="61"/>
      <c r="C756" s="61"/>
      <c r="D756" s="61"/>
      <c r="E756" s="61"/>
      <c r="F756" s="61"/>
      <c r="G756" s="61" t="str">
        <f>IFERROR(__xludf.DUMMYFUNCTION("""COMPUTED_VALUE"""),"")</f>
        <v/>
      </c>
      <c r="H756" s="62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ht="15.75" customHeight="1">
      <c r="A757" s="61"/>
      <c r="B757" s="61"/>
      <c r="C757" s="61"/>
      <c r="D757" s="61"/>
      <c r="E757" s="61"/>
      <c r="F757" s="61"/>
      <c r="G757" s="61" t="str">
        <f>IFERROR(__xludf.DUMMYFUNCTION("""COMPUTED_VALUE"""),"")</f>
        <v/>
      </c>
      <c r="H757" s="62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ht="15.75" customHeight="1">
      <c r="A758" s="61"/>
      <c r="B758" s="61"/>
      <c r="C758" s="61"/>
      <c r="D758" s="61"/>
      <c r="E758" s="61"/>
      <c r="F758" s="61"/>
      <c r="G758" s="61" t="str">
        <f>IFERROR(__xludf.DUMMYFUNCTION("""COMPUTED_VALUE"""),"")</f>
        <v/>
      </c>
      <c r="H758" s="62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ht="15.75" customHeight="1">
      <c r="A759" s="61"/>
      <c r="B759" s="61"/>
      <c r="C759" s="61"/>
      <c r="D759" s="61"/>
      <c r="E759" s="61"/>
      <c r="F759" s="61"/>
      <c r="G759" s="61" t="str">
        <f>IFERROR(__xludf.DUMMYFUNCTION("""COMPUTED_VALUE"""),"")</f>
        <v/>
      </c>
      <c r="H759" s="62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ht="15.75" customHeight="1">
      <c r="A760" s="61"/>
      <c r="B760" s="61"/>
      <c r="C760" s="61"/>
      <c r="D760" s="61"/>
      <c r="E760" s="61"/>
      <c r="F760" s="61"/>
      <c r="G760" s="61" t="str">
        <f>IFERROR(__xludf.DUMMYFUNCTION("""COMPUTED_VALUE"""),"")</f>
        <v/>
      </c>
      <c r="H760" s="62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ht="15.75" customHeight="1">
      <c r="A761" s="61"/>
      <c r="B761" s="61"/>
      <c r="C761" s="61"/>
      <c r="D761" s="61"/>
      <c r="E761" s="61"/>
      <c r="F761" s="61"/>
      <c r="G761" s="61" t="str">
        <f>IFERROR(__xludf.DUMMYFUNCTION("""COMPUTED_VALUE"""),"")</f>
        <v/>
      </c>
      <c r="H761" s="62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ht="15.75" customHeight="1">
      <c r="A762" s="61"/>
      <c r="B762" s="61"/>
      <c r="C762" s="61"/>
      <c r="D762" s="61"/>
      <c r="E762" s="61"/>
      <c r="F762" s="61"/>
      <c r="G762" s="61" t="str">
        <f>IFERROR(__xludf.DUMMYFUNCTION("""COMPUTED_VALUE"""),"")</f>
        <v/>
      </c>
      <c r="H762" s="62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ht="15.75" customHeight="1">
      <c r="A763" s="61"/>
      <c r="B763" s="61"/>
      <c r="C763" s="61"/>
      <c r="D763" s="61"/>
      <c r="E763" s="61"/>
      <c r="F763" s="61"/>
      <c r="G763" s="61" t="str">
        <f>IFERROR(__xludf.DUMMYFUNCTION("""COMPUTED_VALUE"""),"")</f>
        <v/>
      </c>
      <c r="H763" s="62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ht="15.75" customHeight="1">
      <c r="A764" s="61"/>
      <c r="B764" s="61"/>
      <c r="C764" s="61"/>
      <c r="D764" s="61"/>
      <c r="E764" s="61"/>
      <c r="F764" s="61"/>
      <c r="G764" s="61" t="str">
        <f>IFERROR(__xludf.DUMMYFUNCTION("""COMPUTED_VALUE"""),"")</f>
        <v/>
      </c>
      <c r="H764" s="62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ht="15.75" customHeight="1">
      <c r="A765" s="61"/>
      <c r="B765" s="61"/>
      <c r="C765" s="61"/>
      <c r="D765" s="61"/>
      <c r="E765" s="61"/>
      <c r="F765" s="61"/>
      <c r="G765" s="61" t="str">
        <f>IFERROR(__xludf.DUMMYFUNCTION("""COMPUTED_VALUE"""),"")</f>
        <v/>
      </c>
      <c r="H765" s="62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ht="15.75" customHeight="1">
      <c r="A766" s="61"/>
      <c r="B766" s="61"/>
      <c r="C766" s="61"/>
      <c r="D766" s="61"/>
      <c r="E766" s="61"/>
      <c r="F766" s="61"/>
      <c r="G766" s="61" t="str">
        <f>IFERROR(__xludf.DUMMYFUNCTION("""COMPUTED_VALUE"""),"")</f>
        <v/>
      </c>
      <c r="H766" s="62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ht="15.75" customHeight="1">
      <c r="A767" s="61"/>
      <c r="B767" s="61"/>
      <c r="C767" s="61"/>
      <c r="D767" s="61"/>
      <c r="E767" s="61"/>
      <c r="F767" s="61"/>
      <c r="G767" s="61" t="str">
        <f>IFERROR(__xludf.DUMMYFUNCTION("""COMPUTED_VALUE"""),"")</f>
        <v/>
      </c>
      <c r="H767" s="62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ht="15.75" customHeight="1">
      <c r="A768" s="61"/>
      <c r="B768" s="61"/>
      <c r="C768" s="61"/>
      <c r="D768" s="61"/>
      <c r="E768" s="61"/>
      <c r="F768" s="61"/>
      <c r="G768" s="61" t="str">
        <f>IFERROR(__xludf.DUMMYFUNCTION("""COMPUTED_VALUE"""),"")</f>
        <v/>
      </c>
      <c r="H768" s="62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ht="15.75" customHeight="1">
      <c r="A769" s="61"/>
      <c r="B769" s="61"/>
      <c r="C769" s="61"/>
      <c r="D769" s="61"/>
      <c r="E769" s="61"/>
      <c r="F769" s="61"/>
      <c r="G769" s="61" t="str">
        <f>IFERROR(__xludf.DUMMYFUNCTION("""COMPUTED_VALUE"""),"")</f>
        <v/>
      </c>
      <c r="H769" s="62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ht="15.75" customHeight="1">
      <c r="A770" s="61"/>
      <c r="B770" s="61"/>
      <c r="C770" s="61"/>
      <c r="D770" s="61"/>
      <c r="E770" s="61"/>
      <c r="F770" s="61"/>
      <c r="G770" s="61" t="str">
        <f>IFERROR(__xludf.DUMMYFUNCTION("""COMPUTED_VALUE"""),"")</f>
        <v/>
      </c>
      <c r="H770" s="62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ht="15.75" customHeight="1">
      <c r="A771" s="61"/>
      <c r="B771" s="61"/>
      <c r="C771" s="61"/>
      <c r="D771" s="61"/>
      <c r="E771" s="61"/>
      <c r="F771" s="61"/>
      <c r="G771" s="61" t="str">
        <f>IFERROR(__xludf.DUMMYFUNCTION("""COMPUTED_VALUE"""),"")</f>
        <v/>
      </c>
      <c r="H771" s="62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ht="15.75" customHeight="1">
      <c r="A772" s="61"/>
      <c r="B772" s="61"/>
      <c r="C772" s="61"/>
      <c r="D772" s="61"/>
      <c r="E772" s="61"/>
      <c r="F772" s="61"/>
      <c r="G772" s="61" t="str">
        <f>IFERROR(__xludf.DUMMYFUNCTION("""COMPUTED_VALUE"""),"")</f>
        <v/>
      </c>
      <c r="H772" s="62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ht="15.75" customHeight="1">
      <c r="A773" s="61"/>
      <c r="B773" s="61"/>
      <c r="C773" s="61"/>
      <c r="D773" s="61"/>
      <c r="E773" s="61"/>
      <c r="F773" s="61"/>
      <c r="G773" s="61" t="str">
        <f>IFERROR(__xludf.DUMMYFUNCTION("""COMPUTED_VALUE"""),"")</f>
        <v/>
      </c>
      <c r="H773" s="62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ht="15.75" customHeight="1">
      <c r="A774" s="61"/>
      <c r="B774" s="61"/>
      <c r="C774" s="61"/>
      <c r="D774" s="61"/>
      <c r="E774" s="61"/>
      <c r="F774" s="61"/>
      <c r="G774" s="61" t="str">
        <f>IFERROR(__xludf.DUMMYFUNCTION("""COMPUTED_VALUE"""),"")</f>
        <v/>
      </c>
      <c r="H774" s="62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ht="15.75" customHeight="1">
      <c r="A775" s="61"/>
      <c r="B775" s="61"/>
      <c r="C775" s="61"/>
      <c r="D775" s="61"/>
      <c r="E775" s="61"/>
      <c r="F775" s="61"/>
      <c r="G775" s="61" t="str">
        <f>IFERROR(__xludf.DUMMYFUNCTION("""COMPUTED_VALUE"""),"")</f>
        <v/>
      </c>
      <c r="H775" s="62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ht="15.75" customHeight="1">
      <c r="A776" s="61"/>
      <c r="B776" s="61"/>
      <c r="C776" s="61"/>
      <c r="D776" s="61"/>
      <c r="E776" s="61"/>
      <c r="F776" s="61"/>
      <c r="G776" s="61" t="str">
        <f>IFERROR(__xludf.DUMMYFUNCTION("""COMPUTED_VALUE"""),"")</f>
        <v/>
      </c>
      <c r="H776" s="62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ht="15.75" customHeight="1">
      <c r="A777" s="61"/>
      <c r="B777" s="61"/>
      <c r="C777" s="61"/>
      <c r="D777" s="61"/>
      <c r="E777" s="61"/>
      <c r="F777" s="61"/>
      <c r="G777" s="61" t="str">
        <f>IFERROR(__xludf.DUMMYFUNCTION("""COMPUTED_VALUE"""),"")</f>
        <v/>
      </c>
      <c r="H777" s="62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ht="15.75" customHeight="1">
      <c r="A778" s="61"/>
      <c r="B778" s="61"/>
      <c r="C778" s="61"/>
      <c r="D778" s="61"/>
      <c r="E778" s="61"/>
      <c r="F778" s="61"/>
      <c r="G778" s="61" t="str">
        <f>IFERROR(__xludf.DUMMYFUNCTION("""COMPUTED_VALUE"""),"")</f>
        <v/>
      </c>
      <c r="H778" s="62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ht="15.75" customHeight="1">
      <c r="A779" s="61"/>
      <c r="B779" s="61"/>
      <c r="C779" s="61"/>
      <c r="D779" s="61"/>
      <c r="E779" s="61"/>
      <c r="F779" s="61"/>
      <c r="G779" s="61" t="str">
        <f>IFERROR(__xludf.DUMMYFUNCTION("""COMPUTED_VALUE"""),"")</f>
        <v/>
      </c>
      <c r="H779" s="62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ht="15.75" customHeight="1">
      <c r="A780" s="61"/>
      <c r="B780" s="61"/>
      <c r="C780" s="61"/>
      <c r="D780" s="61"/>
      <c r="E780" s="61"/>
      <c r="F780" s="61"/>
      <c r="G780" s="61" t="str">
        <f>IFERROR(__xludf.DUMMYFUNCTION("""COMPUTED_VALUE"""),"")</f>
        <v/>
      </c>
      <c r="H780" s="62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ht="15.75" customHeight="1">
      <c r="A781" s="61"/>
      <c r="B781" s="61"/>
      <c r="C781" s="61"/>
      <c r="D781" s="61"/>
      <c r="E781" s="61"/>
      <c r="F781" s="61"/>
      <c r="G781" s="61" t="str">
        <f>IFERROR(__xludf.DUMMYFUNCTION("""COMPUTED_VALUE"""),"")</f>
        <v/>
      </c>
      <c r="H781" s="62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ht="15.75" customHeight="1">
      <c r="A782" s="61"/>
      <c r="B782" s="61"/>
      <c r="C782" s="61"/>
      <c r="D782" s="61"/>
      <c r="E782" s="61"/>
      <c r="F782" s="61"/>
      <c r="G782" s="61" t="str">
        <f>IFERROR(__xludf.DUMMYFUNCTION("""COMPUTED_VALUE"""),"")</f>
        <v/>
      </c>
      <c r="H782" s="62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ht="15.75" customHeight="1">
      <c r="A783" s="61"/>
      <c r="B783" s="61"/>
      <c r="C783" s="61"/>
      <c r="D783" s="61"/>
      <c r="E783" s="61"/>
      <c r="F783" s="61"/>
      <c r="G783" s="61" t="str">
        <f>IFERROR(__xludf.DUMMYFUNCTION("""COMPUTED_VALUE"""),"")</f>
        <v/>
      </c>
      <c r="H783" s="62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ht="15.75" customHeight="1">
      <c r="A784" s="61"/>
      <c r="B784" s="61"/>
      <c r="C784" s="61"/>
      <c r="D784" s="61"/>
      <c r="E784" s="61"/>
      <c r="F784" s="61"/>
      <c r="G784" s="61" t="str">
        <f>IFERROR(__xludf.DUMMYFUNCTION("""COMPUTED_VALUE"""),"")</f>
        <v/>
      </c>
      <c r="H784" s="62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ht="15.75" customHeight="1">
      <c r="A785" s="61"/>
      <c r="B785" s="61"/>
      <c r="C785" s="61"/>
      <c r="D785" s="61"/>
      <c r="E785" s="61"/>
      <c r="F785" s="61"/>
      <c r="G785" s="61" t="str">
        <f>IFERROR(__xludf.DUMMYFUNCTION("""COMPUTED_VALUE"""),"")</f>
        <v/>
      </c>
      <c r="H785" s="62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ht="15.75" customHeight="1">
      <c r="A786" s="61"/>
      <c r="B786" s="61"/>
      <c r="C786" s="61"/>
      <c r="D786" s="61"/>
      <c r="E786" s="61"/>
      <c r="F786" s="61"/>
      <c r="G786" s="61" t="str">
        <f>IFERROR(__xludf.DUMMYFUNCTION("""COMPUTED_VALUE"""),"")</f>
        <v/>
      </c>
      <c r="H786" s="62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ht="15.75" customHeight="1">
      <c r="A787" s="61"/>
      <c r="B787" s="61"/>
      <c r="C787" s="61"/>
      <c r="D787" s="61"/>
      <c r="E787" s="61"/>
      <c r="F787" s="61"/>
      <c r="G787" s="61" t="str">
        <f>IFERROR(__xludf.DUMMYFUNCTION("""COMPUTED_VALUE"""),"")</f>
        <v/>
      </c>
      <c r="H787" s="62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ht="15.75" customHeight="1">
      <c r="A788" s="61"/>
      <c r="B788" s="61"/>
      <c r="C788" s="61"/>
      <c r="D788" s="61"/>
      <c r="E788" s="61"/>
      <c r="F788" s="61"/>
      <c r="G788" s="61" t="str">
        <f>IFERROR(__xludf.DUMMYFUNCTION("""COMPUTED_VALUE"""),"")</f>
        <v/>
      </c>
      <c r="H788" s="62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ht="15.75" customHeight="1">
      <c r="A789" s="61"/>
      <c r="B789" s="61"/>
      <c r="C789" s="61"/>
      <c r="D789" s="61"/>
      <c r="E789" s="61"/>
      <c r="F789" s="61"/>
      <c r="G789" s="61" t="str">
        <f>IFERROR(__xludf.DUMMYFUNCTION("""COMPUTED_VALUE"""),"")</f>
        <v/>
      </c>
      <c r="H789" s="62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ht="15.75" customHeight="1">
      <c r="A790" s="61"/>
      <c r="B790" s="61"/>
      <c r="C790" s="61"/>
      <c r="D790" s="61"/>
      <c r="E790" s="61"/>
      <c r="F790" s="61"/>
      <c r="G790" s="61" t="str">
        <f>IFERROR(__xludf.DUMMYFUNCTION("""COMPUTED_VALUE"""),"")</f>
        <v/>
      </c>
      <c r="H790" s="62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ht="15.75" customHeight="1">
      <c r="A791" s="61"/>
      <c r="B791" s="61"/>
      <c r="C791" s="61"/>
      <c r="D791" s="61"/>
      <c r="E791" s="61"/>
      <c r="F791" s="61"/>
      <c r="G791" s="61" t="str">
        <f>IFERROR(__xludf.DUMMYFUNCTION("""COMPUTED_VALUE"""),"")</f>
        <v/>
      </c>
      <c r="H791" s="62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ht="15.75" customHeight="1">
      <c r="A792" s="61"/>
      <c r="B792" s="61"/>
      <c r="C792" s="61"/>
      <c r="D792" s="61"/>
      <c r="E792" s="61"/>
      <c r="F792" s="61"/>
      <c r="G792" s="61" t="str">
        <f>IFERROR(__xludf.DUMMYFUNCTION("""COMPUTED_VALUE"""),"")</f>
        <v/>
      </c>
      <c r="H792" s="62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ht="15.75" customHeight="1">
      <c r="A793" s="61"/>
      <c r="B793" s="61"/>
      <c r="C793" s="61"/>
      <c r="D793" s="61"/>
      <c r="E793" s="61"/>
      <c r="F793" s="61"/>
      <c r="G793" s="61" t="str">
        <f>IFERROR(__xludf.DUMMYFUNCTION("""COMPUTED_VALUE"""),"")</f>
        <v/>
      </c>
      <c r="H793" s="62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ht="15.75" customHeight="1">
      <c r="A794" s="61"/>
      <c r="B794" s="61"/>
      <c r="C794" s="61"/>
      <c r="D794" s="61"/>
      <c r="E794" s="61"/>
      <c r="F794" s="61"/>
      <c r="G794" s="61" t="str">
        <f>IFERROR(__xludf.DUMMYFUNCTION("""COMPUTED_VALUE"""),"")</f>
        <v/>
      </c>
      <c r="H794" s="62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ht="15.75" customHeight="1">
      <c r="A795" s="61"/>
      <c r="B795" s="61"/>
      <c r="C795" s="61"/>
      <c r="D795" s="61"/>
      <c r="E795" s="61"/>
      <c r="F795" s="61"/>
      <c r="G795" s="61" t="str">
        <f>IFERROR(__xludf.DUMMYFUNCTION("""COMPUTED_VALUE"""),"")</f>
        <v/>
      </c>
      <c r="H795" s="62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ht="15.75" customHeight="1">
      <c r="A796" s="61"/>
      <c r="B796" s="61"/>
      <c r="C796" s="61"/>
      <c r="D796" s="61"/>
      <c r="E796" s="61"/>
      <c r="F796" s="61"/>
      <c r="G796" s="61" t="str">
        <f>IFERROR(__xludf.DUMMYFUNCTION("""COMPUTED_VALUE"""),"")</f>
        <v/>
      </c>
      <c r="H796" s="62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ht="15.75" customHeight="1">
      <c r="A797" s="61"/>
      <c r="B797" s="61"/>
      <c r="C797" s="61"/>
      <c r="D797" s="61"/>
      <c r="E797" s="61"/>
      <c r="F797" s="61"/>
      <c r="G797" s="61" t="str">
        <f>IFERROR(__xludf.DUMMYFUNCTION("""COMPUTED_VALUE"""),"")</f>
        <v/>
      </c>
      <c r="H797" s="62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ht="15.75" customHeight="1">
      <c r="A798" s="61"/>
      <c r="B798" s="61"/>
      <c r="C798" s="61"/>
      <c r="D798" s="61"/>
      <c r="E798" s="61"/>
      <c r="F798" s="61"/>
      <c r="G798" s="61" t="str">
        <f>IFERROR(__xludf.DUMMYFUNCTION("""COMPUTED_VALUE"""),"")</f>
        <v/>
      </c>
      <c r="H798" s="62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ht="15.75" customHeight="1">
      <c r="A799" s="61"/>
      <c r="B799" s="61"/>
      <c r="C799" s="61"/>
      <c r="D799" s="61"/>
      <c r="E799" s="61"/>
      <c r="F799" s="61"/>
      <c r="G799" s="61" t="str">
        <f>IFERROR(__xludf.DUMMYFUNCTION("""COMPUTED_VALUE"""),"")</f>
        <v/>
      </c>
      <c r="H799" s="62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ht="15.75" customHeight="1">
      <c r="A800" s="61"/>
      <c r="B800" s="61"/>
      <c r="C800" s="61"/>
      <c r="D800" s="61"/>
      <c r="E800" s="61"/>
      <c r="F800" s="61"/>
      <c r="G800" s="61" t="str">
        <f>IFERROR(__xludf.DUMMYFUNCTION("""COMPUTED_VALUE"""),"")</f>
        <v/>
      </c>
      <c r="H800" s="62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ht="15.75" customHeight="1">
      <c r="A801" s="61"/>
      <c r="B801" s="61"/>
      <c r="C801" s="61"/>
      <c r="D801" s="61"/>
      <c r="E801" s="61"/>
      <c r="F801" s="61"/>
      <c r="G801" s="61" t="str">
        <f>IFERROR(__xludf.DUMMYFUNCTION("""COMPUTED_VALUE"""),"")</f>
        <v/>
      </c>
      <c r="H801" s="62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ht="15.75" customHeight="1">
      <c r="A802" s="61"/>
      <c r="B802" s="61"/>
      <c r="C802" s="61"/>
      <c r="D802" s="61"/>
      <c r="E802" s="61"/>
      <c r="F802" s="61"/>
      <c r="G802" s="61" t="str">
        <f>IFERROR(__xludf.DUMMYFUNCTION("""COMPUTED_VALUE"""),"")</f>
        <v/>
      </c>
      <c r="H802" s="62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ht="15.75" customHeight="1">
      <c r="A803" s="61"/>
      <c r="B803" s="61"/>
      <c r="C803" s="61"/>
      <c r="D803" s="61"/>
      <c r="E803" s="61"/>
      <c r="F803" s="61"/>
      <c r="G803" s="61" t="str">
        <f>IFERROR(__xludf.DUMMYFUNCTION("""COMPUTED_VALUE"""),"")</f>
        <v/>
      </c>
      <c r="H803" s="62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ht="15.75" customHeight="1">
      <c r="A804" s="61"/>
      <c r="B804" s="61"/>
      <c r="C804" s="61"/>
      <c r="D804" s="61"/>
      <c r="E804" s="61"/>
      <c r="F804" s="61"/>
      <c r="G804" s="61" t="str">
        <f>IFERROR(__xludf.DUMMYFUNCTION("""COMPUTED_VALUE"""),"")</f>
        <v/>
      </c>
      <c r="H804" s="62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ht="15.75" customHeight="1">
      <c r="A805" s="61"/>
      <c r="B805" s="61"/>
      <c r="C805" s="61"/>
      <c r="D805" s="61"/>
      <c r="E805" s="61"/>
      <c r="F805" s="61"/>
      <c r="G805" s="61" t="str">
        <f>IFERROR(__xludf.DUMMYFUNCTION("""COMPUTED_VALUE"""),"")</f>
        <v/>
      </c>
      <c r="H805" s="62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ht="15.75" customHeight="1">
      <c r="A806" s="61"/>
      <c r="B806" s="61"/>
      <c r="C806" s="61"/>
      <c r="D806" s="61"/>
      <c r="E806" s="61"/>
      <c r="F806" s="61"/>
      <c r="G806" s="61" t="str">
        <f>IFERROR(__xludf.DUMMYFUNCTION("""COMPUTED_VALUE"""),"")</f>
        <v/>
      </c>
      <c r="H806" s="62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ht="15.75" customHeight="1">
      <c r="A807" s="61"/>
      <c r="B807" s="61"/>
      <c r="C807" s="61"/>
      <c r="D807" s="61"/>
      <c r="E807" s="61"/>
      <c r="F807" s="61"/>
      <c r="G807" s="61" t="str">
        <f>IFERROR(__xludf.DUMMYFUNCTION("""COMPUTED_VALUE"""),"")</f>
        <v/>
      </c>
      <c r="H807" s="62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ht="15.75" customHeight="1">
      <c r="A808" s="61"/>
      <c r="B808" s="61"/>
      <c r="C808" s="61"/>
      <c r="D808" s="61"/>
      <c r="E808" s="61"/>
      <c r="F808" s="61"/>
      <c r="G808" s="61" t="str">
        <f>IFERROR(__xludf.DUMMYFUNCTION("""COMPUTED_VALUE"""),"")</f>
        <v/>
      </c>
      <c r="H808" s="62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ht="15.75" customHeight="1">
      <c r="A809" s="61"/>
      <c r="B809" s="61"/>
      <c r="C809" s="61"/>
      <c r="D809" s="61"/>
      <c r="E809" s="61"/>
      <c r="F809" s="61"/>
      <c r="G809" s="61" t="str">
        <f>IFERROR(__xludf.DUMMYFUNCTION("""COMPUTED_VALUE"""),"")</f>
        <v/>
      </c>
      <c r="H809" s="62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ht="15.75" customHeight="1">
      <c r="A810" s="61"/>
      <c r="B810" s="61"/>
      <c r="C810" s="61"/>
      <c r="D810" s="61"/>
      <c r="E810" s="61"/>
      <c r="F810" s="61"/>
      <c r="G810" s="61" t="str">
        <f>IFERROR(__xludf.DUMMYFUNCTION("""COMPUTED_VALUE"""),"")</f>
        <v/>
      </c>
      <c r="H810" s="62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ht="15.75" customHeight="1">
      <c r="A811" s="61"/>
      <c r="B811" s="61"/>
      <c r="C811" s="61"/>
      <c r="D811" s="61"/>
      <c r="E811" s="61"/>
      <c r="F811" s="61"/>
      <c r="G811" s="61" t="str">
        <f>IFERROR(__xludf.DUMMYFUNCTION("""COMPUTED_VALUE"""),"")</f>
        <v/>
      </c>
      <c r="H811" s="62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ht="15.75" customHeight="1">
      <c r="A812" s="61"/>
      <c r="B812" s="61"/>
      <c r="C812" s="61"/>
      <c r="D812" s="61"/>
      <c r="E812" s="61"/>
      <c r="F812" s="61"/>
      <c r="G812" s="61" t="str">
        <f>IFERROR(__xludf.DUMMYFUNCTION("""COMPUTED_VALUE"""),"")</f>
        <v/>
      </c>
      <c r="H812" s="62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ht="15.75" customHeight="1">
      <c r="A813" s="61"/>
      <c r="B813" s="61"/>
      <c r="C813" s="61"/>
      <c r="D813" s="61"/>
      <c r="E813" s="61"/>
      <c r="F813" s="61"/>
      <c r="G813" s="61" t="str">
        <f>IFERROR(__xludf.DUMMYFUNCTION("""COMPUTED_VALUE"""),"")</f>
        <v/>
      </c>
      <c r="H813" s="62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ht="15.75" customHeight="1">
      <c r="A814" s="61"/>
      <c r="B814" s="61"/>
      <c r="C814" s="61"/>
      <c r="D814" s="61"/>
      <c r="E814" s="61"/>
      <c r="F814" s="61"/>
      <c r="G814" s="61" t="str">
        <f>IFERROR(__xludf.DUMMYFUNCTION("""COMPUTED_VALUE"""),"")</f>
        <v/>
      </c>
      <c r="H814" s="62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ht="15.75" customHeight="1">
      <c r="A815" s="61"/>
      <c r="B815" s="61"/>
      <c r="C815" s="61"/>
      <c r="D815" s="61"/>
      <c r="E815" s="61"/>
      <c r="F815" s="61"/>
      <c r="G815" s="61" t="str">
        <f>IFERROR(__xludf.DUMMYFUNCTION("""COMPUTED_VALUE"""),"")</f>
        <v/>
      </c>
      <c r="H815" s="62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ht="15.75" customHeight="1">
      <c r="A816" s="61"/>
      <c r="B816" s="61"/>
      <c r="C816" s="61"/>
      <c r="D816" s="61"/>
      <c r="E816" s="61"/>
      <c r="F816" s="61"/>
      <c r="G816" s="61" t="str">
        <f>IFERROR(__xludf.DUMMYFUNCTION("""COMPUTED_VALUE"""),"")</f>
        <v/>
      </c>
      <c r="H816" s="62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ht="15.75" customHeight="1">
      <c r="A817" s="61"/>
      <c r="B817" s="61"/>
      <c r="C817" s="61"/>
      <c r="D817" s="61"/>
      <c r="E817" s="61"/>
      <c r="F817" s="61"/>
      <c r="G817" s="61" t="str">
        <f>IFERROR(__xludf.DUMMYFUNCTION("""COMPUTED_VALUE"""),"")</f>
        <v/>
      </c>
      <c r="H817" s="62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ht="15.75" customHeight="1">
      <c r="A818" s="61"/>
      <c r="B818" s="61"/>
      <c r="C818" s="61"/>
      <c r="D818" s="61"/>
      <c r="E818" s="61"/>
      <c r="F818" s="61"/>
      <c r="G818" s="61" t="str">
        <f>IFERROR(__xludf.DUMMYFUNCTION("""COMPUTED_VALUE"""),"")</f>
        <v/>
      </c>
      <c r="H818" s="62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ht="15.75" customHeight="1">
      <c r="A819" s="61"/>
      <c r="B819" s="61"/>
      <c r="C819" s="61"/>
      <c r="D819" s="61"/>
      <c r="E819" s="61"/>
      <c r="F819" s="61"/>
      <c r="G819" s="61" t="str">
        <f>IFERROR(__xludf.DUMMYFUNCTION("""COMPUTED_VALUE"""),"")</f>
        <v/>
      </c>
      <c r="H819" s="62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ht="15.75" customHeight="1">
      <c r="A820" s="61"/>
      <c r="B820" s="61"/>
      <c r="C820" s="61"/>
      <c r="D820" s="61"/>
      <c r="E820" s="61"/>
      <c r="F820" s="61"/>
      <c r="G820" s="61" t="str">
        <f>IFERROR(__xludf.DUMMYFUNCTION("""COMPUTED_VALUE"""),"")</f>
        <v/>
      </c>
      <c r="H820" s="62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ht="15.75" customHeight="1">
      <c r="A821" s="61"/>
      <c r="B821" s="61"/>
      <c r="C821" s="61"/>
      <c r="D821" s="61"/>
      <c r="E821" s="61"/>
      <c r="F821" s="61"/>
      <c r="G821" s="61" t="str">
        <f>IFERROR(__xludf.DUMMYFUNCTION("""COMPUTED_VALUE"""),"")</f>
        <v/>
      </c>
      <c r="H821" s="62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ht="15.75" customHeight="1">
      <c r="A822" s="61"/>
      <c r="B822" s="61"/>
      <c r="C822" s="61"/>
      <c r="D822" s="61"/>
      <c r="E822" s="61"/>
      <c r="F822" s="61"/>
      <c r="G822" s="61" t="str">
        <f>IFERROR(__xludf.DUMMYFUNCTION("""COMPUTED_VALUE"""),"")</f>
        <v/>
      </c>
      <c r="H822" s="62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ht="15.75" customHeight="1">
      <c r="A823" s="61"/>
      <c r="B823" s="61"/>
      <c r="C823" s="61"/>
      <c r="D823" s="61"/>
      <c r="E823" s="61"/>
      <c r="F823" s="61"/>
      <c r="G823" s="61" t="str">
        <f>IFERROR(__xludf.DUMMYFUNCTION("""COMPUTED_VALUE"""),"")</f>
        <v/>
      </c>
      <c r="H823" s="62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ht="15.75" customHeight="1">
      <c r="A824" s="61"/>
      <c r="B824" s="61"/>
      <c r="C824" s="61"/>
      <c r="D824" s="61"/>
      <c r="E824" s="61"/>
      <c r="F824" s="61"/>
      <c r="G824" s="61" t="str">
        <f>IFERROR(__xludf.DUMMYFUNCTION("""COMPUTED_VALUE"""),"")</f>
        <v/>
      </c>
      <c r="H824" s="62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ht="15.75" customHeight="1">
      <c r="A825" s="61"/>
      <c r="B825" s="61"/>
      <c r="C825" s="61"/>
      <c r="D825" s="61"/>
      <c r="E825" s="61"/>
      <c r="F825" s="61"/>
      <c r="G825" s="61" t="str">
        <f>IFERROR(__xludf.DUMMYFUNCTION("""COMPUTED_VALUE"""),"")</f>
        <v/>
      </c>
      <c r="H825" s="62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ht="15.75" customHeight="1">
      <c r="A826" s="61"/>
      <c r="B826" s="61"/>
      <c r="C826" s="61"/>
      <c r="D826" s="61"/>
      <c r="E826" s="61"/>
      <c r="F826" s="61"/>
      <c r="G826" s="61" t="str">
        <f>IFERROR(__xludf.DUMMYFUNCTION("""COMPUTED_VALUE"""),"")</f>
        <v/>
      </c>
      <c r="H826" s="62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ht="15.75" customHeight="1">
      <c r="A827" s="61"/>
      <c r="B827" s="61"/>
      <c r="C827" s="61"/>
      <c r="D827" s="61"/>
      <c r="E827" s="61"/>
      <c r="F827" s="61"/>
      <c r="G827" s="61" t="str">
        <f>IFERROR(__xludf.DUMMYFUNCTION("""COMPUTED_VALUE"""),"")</f>
        <v/>
      </c>
      <c r="H827" s="62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ht="15.75" customHeight="1">
      <c r="A828" s="61"/>
      <c r="B828" s="61"/>
      <c r="C828" s="61"/>
      <c r="D828" s="61"/>
      <c r="E828" s="61"/>
      <c r="F828" s="61"/>
      <c r="G828" s="61" t="str">
        <f>IFERROR(__xludf.DUMMYFUNCTION("""COMPUTED_VALUE"""),"")</f>
        <v/>
      </c>
      <c r="H828" s="62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ht="15.75" customHeight="1">
      <c r="A829" s="61"/>
      <c r="B829" s="61"/>
      <c r="C829" s="61"/>
      <c r="D829" s="61"/>
      <c r="E829" s="61"/>
      <c r="F829" s="61"/>
      <c r="G829" s="61" t="str">
        <f>IFERROR(__xludf.DUMMYFUNCTION("""COMPUTED_VALUE"""),"")</f>
        <v/>
      </c>
      <c r="H829" s="62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ht="15.75" customHeight="1">
      <c r="A830" s="61"/>
      <c r="B830" s="61"/>
      <c r="C830" s="61"/>
      <c r="D830" s="61"/>
      <c r="E830" s="61"/>
      <c r="F830" s="61"/>
      <c r="G830" s="61" t="str">
        <f>IFERROR(__xludf.DUMMYFUNCTION("""COMPUTED_VALUE"""),"")</f>
        <v/>
      </c>
      <c r="H830" s="62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ht="15.75" customHeight="1">
      <c r="A831" s="61"/>
      <c r="B831" s="61"/>
      <c r="C831" s="61"/>
      <c r="D831" s="61"/>
      <c r="E831" s="61"/>
      <c r="F831" s="61"/>
      <c r="G831" s="61" t="str">
        <f>IFERROR(__xludf.DUMMYFUNCTION("""COMPUTED_VALUE"""),"")</f>
        <v/>
      </c>
      <c r="H831" s="62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ht="15.75" customHeight="1">
      <c r="A832" s="61"/>
      <c r="B832" s="61"/>
      <c r="C832" s="61"/>
      <c r="D832" s="61"/>
      <c r="E832" s="61"/>
      <c r="F832" s="61"/>
      <c r="G832" s="61" t="str">
        <f>IFERROR(__xludf.DUMMYFUNCTION("""COMPUTED_VALUE"""),"")</f>
        <v/>
      </c>
      <c r="H832" s="62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ht="15.75" customHeight="1">
      <c r="A833" s="61"/>
      <c r="B833" s="61"/>
      <c r="C833" s="61"/>
      <c r="D833" s="61"/>
      <c r="E833" s="61"/>
      <c r="F833" s="61"/>
      <c r="G833" s="61" t="str">
        <f>IFERROR(__xludf.DUMMYFUNCTION("""COMPUTED_VALUE"""),"")</f>
        <v/>
      </c>
      <c r="H833" s="62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ht="15.75" customHeight="1">
      <c r="A834" s="61"/>
      <c r="B834" s="61"/>
      <c r="C834" s="61"/>
      <c r="D834" s="61"/>
      <c r="E834" s="61"/>
      <c r="F834" s="61"/>
      <c r="G834" s="61" t="str">
        <f>IFERROR(__xludf.DUMMYFUNCTION("""COMPUTED_VALUE"""),"")</f>
        <v/>
      </c>
      <c r="H834" s="62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ht="15.75" customHeight="1">
      <c r="A835" s="61"/>
      <c r="B835" s="61"/>
      <c r="C835" s="61"/>
      <c r="D835" s="61"/>
      <c r="E835" s="61"/>
      <c r="F835" s="61"/>
      <c r="G835" s="61" t="str">
        <f>IFERROR(__xludf.DUMMYFUNCTION("""COMPUTED_VALUE"""),"")</f>
        <v/>
      </c>
      <c r="H835" s="62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ht="15.75" customHeight="1">
      <c r="A836" s="61"/>
      <c r="B836" s="61"/>
      <c r="C836" s="61"/>
      <c r="D836" s="61"/>
      <c r="E836" s="61"/>
      <c r="F836" s="61"/>
      <c r="G836" s="61" t="str">
        <f>IFERROR(__xludf.DUMMYFUNCTION("""COMPUTED_VALUE"""),"")</f>
        <v/>
      </c>
      <c r="H836" s="62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ht="15.75" customHeight="1">
      <c r="A837" s="61"/>
      <c r="B837" s="61"/>
      <c r="C837" s="61"/>
      <c r="D837" s="61"/>
      <c r="E837" s="61"/>
      <c r="F837" s="61"/>
      <c r="G837" s="61" t="str">
        <f>IFERROR(__xludf.DUMMYFUNCTION("""COMPUTED_VALUE"""),"")</f>
        <v/>
      </c>
      <c r="H837" s="62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ht="15.75" customHeight="1">
      <c r="A838" s="61"/>
      <c r="B838" s="61"/>
      <c r="C838" s="61"/>
      <c r="D838" s="61"/>
      <c r="E838" s="61"/>
      <c r="F838" s="61"/>
      <c r="G838" s="61" t="str">
        <f>IFERROR(__xludf.DUMMYFUNCTION("""COMPUTED_VALUE"""),"")</f>
        <v/>
      </c>
      <c r="H838" s="62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ht="15.75" customHeight="1">
      <c r="A839" s="61"/>
      <c r="B839" s="61"/>
      <c r="C839" s="61"/>
      <c r="D839" s="61"/>
      <c r="E839" s="61"/>
      <c r="F839" s="61"/>
      <c r="G839" s="61" t="str">
        <f>IFERROR(__xludf.DUMMYFUNCTION("""COMPUTED_VALUE"""),"")</f>
        <v/>
      </c>
      <c r="H839" s="62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ht="15.75" customHeight="1">
      <c r="A840" s="61"/>
      <c r="B840" s="61"/>
      <c r="C840" s="61"/>
      <c r="D840" s="61"/>
      <c r="E840" s="61"/>
      <c r="F840" s="61"/>
      <c r="G840" s="61" t="str">
        <f>IFERROR(__xludf.DUMMYFUNCTION("""COMPUTED_VALUE"""),"")</f>
        <v/>
      </c>
      <c r="H840" s="62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ht="15.75" customHeight="1">
      <c r="A841" s="61"/>
      <c r="B841" s="61"/>
      <c r="C841" s="61"/>
      <c r="D841" s="61"/>
      <c r="E841" s="61"/>
      <c r="F841" s="61"/>
      <c r="G841" s="61" t="str">
        <f>IFERROR(__xludf.DUMMYFUNCTION("""COMPUTED_VALUE"""),"")</f>
        <v/>
      </c>
      <c r="H841" s="62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ht="15.75" customHeight="1">
      <c r="A842" s="61"/>
      <c r="B842" s="61"/>
      <c r="C842" s="61"/>
      <c r="D842" s="61"/>
      <c r="E842" s="61"/>
      <c r="F842" s="61"/>
      <c r="G842" s="61" t="str">
        <f>IFERROR(__xludf.DUMMYFUNCTION("""COMPUTED_VALUE"""),"")</f>
        <v/>
      </c>
      <c r="H842" s="62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ht="15.75" customHeight="1">
      <c r="A843" s="61"/>
      <c r="B843" s="61"/>
      <c r="C843" s="61"/>
      <c r="D843" s="61"/>
      <c r="E843" s="61"/>
      <c r="F843" s="61"/>
      <c r="G843" s="61" t="str">
        <f>IFERROR(__xludf.DUMMYFUNCTION("""COMPUTED_VALUE"""),"")</f>
        <v/>
      </c>
      <c r="H843" s="62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ht="15.75" customHeight="1">
      <c r="A844" s="61"/>
      <c r="B844" s="61"/>
      <c r="C844" s="61"/>
      <c r="D844" s="61"/>
      <c r="E844" s="61"/>
      <c r="F844" s="61"/>
      <c r="G844" s="61" t="str">
        <f>IFERROR(__xludf.DUMMYFUNCTION("""COMPUTED_VALUE"""),"")</f>
        <v/>
      </c>
      <c r="H844" s="62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ht="15.75" customHeight="1">
      <c r="A845" s="61"/>
      <c r="B845" s="61"/>
      <c r="C845" s="61"/>
      <c r="D845" s="61"/>
      <c r="E845" s="61"/>
      <c r="F845" s="61"/>
      <c r="G845" s="61" t="str">
        <f>IFERROR(__xludf.DUMMYFUNCTION("""COMPUTED_VALUE"""),"")</f>
        <v/>
      </c>
      <c r="H845" s="62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ht="15.75" customHeight="1">
      <c r="A846" s="61"/>
      <c r="B846" s="61"/>
      <c r="C846" s="61"/>
      <c r="D846" s="61"/>
      <c r="E846" s="61"/>
      <c r="F846" s="61"/>
      <c r="G846" s="61" t="str">
        <f>IFERROR(__xludf.DUMMYFUNCTION("""COMPUTED_VALUE"""),"")</f>
        <v/>
      </c>
      <c r="H846" s="62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ht="15.75" customHeight="1">
      <c r="A847" s="61"/>
      <c r="B847" s="61"/>
      <c r="C847" s="61"/>
      <c r="D847" s="61"/>
      <c r="E847" s="61"/>
      <c r="F847" s="61"/>
      <c r="G847" s="61" t="str">
        <f>IFERROR(__xludf.DUMMYFUNCTION("""COMPUTED_VALUE"""),"")</f>
        <v/>
      </c>
      <c r="H847" s="62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ht="15.75" customHeight="1">
      <c r="A848" s="61"/>
      <c r="B848" s="61"/>
      <c r="C848" s="61"/>
      <c r="D848" s="61"/>
      <c r="E848" s="61"/>
      <c r="F848" s="61"/>
      <c r="G848" s="61" t="str">
        <f>IFERROR(__xludf.DUMMYFUNCTION("""COMPUTED_VALUE"""),"")</f>
        <v/>
      </c>
      <c r="H848" s="62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ht="15.75" customHeight="1">
      <c r="A849" s="61"/>
      <c r="B849" s="61"/>
      <c r="C849" s="61"/>
      <c r="D849" s="61"/>
      <c r="E849" s="61"/>
      <c r="F849" s="61"/>
      <c r="G849" s="61" t="str">
        <f>IFERROR(__xludf.DUMMYFUNCTION("""COMPUTED_VALUE"""),"")</f>
        <v/>
      </c>
      <c r="H849" s="62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ht="15.75" customHeight="1">
      <c r="A850" s="61"/>
      <c r="B850" s="61"/>
      <c r="C850" s="61"/>
      <c r="D850" s="61"/>
      <c r="E850" s="61"/>
      <c r="F850" s="61"/>
      <c r="G850" s="61" t="str">
        <f>IFERROR(__xludf.DUMMYFUNCTION("""COMPUTED_VALUE"""),"")</f>
        <v/>
      </c>
      <c r="H850" s="62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ht="15.75" customHeight="1">
      <c r="A851" s="61"/>
      <c r="B851" s="61"/>
      <c r="C851" s="61"/>
      <c r="D851" s="61"/>
      <c r="E851" s="61"/>
      <c r="F851" s="61"/>
      <c r="G851" s="61" t="str">
        <f>IFERROR(__xludf.DUMMYFUNCTION("""COMPUTED_VALUE"""),"")</f>
        <v/>
      </c>
      <c r="H851" s="62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ht="15.75" customHeight="1">
      <c r="A852" s="61"/>
      <c r="B852" s="61"/>
      <c r="C852" s="61"/>
      <c r="D852" s="61"/>
      <c r="E852" s="61"/>
      <c r="F852" s="61"/>
      <c r="G852" s="61" t="str">
        <f>IFERROR(__xludf.DUMMYFUNCTION("""COMPUTED_VALUE"""),"")</f>
        <v/>
      </c>
      <c r="H852" s="62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ht="15.75" customHeight="1">
      <c r="A853" s="61"/>
      <c r="B853" s="61"/>
      <c r="C853" s="61"/>
      <c r="D853" s="61"/>
      <c r="E853" s="61"/>
      <c r="F853" s="61"/>
      <c r="G853" s="61" t="str">
        <f>IFERROR(__xludf.DUMMYFUNCTION("""COMPUTED_VALUE"""),"")</f>
        <v/>
      </c>
      <c r="H853" s="62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ht="15.75" customHeight="1">
      <c r="A854" s="61"/>
      <c r="B854" s="61"/>
      <c r="C854" s="61"/>
      <c r="D854" s="61"/>
      <c r="E854" s="61"/>
      <c r="F854" s="61"/>
      <c r="G854" s="61" t="str">
        <f>IFERROR(__xludf.DUMMYFUNCTION("""COMPUTED_VALUE"""),"")</f>
        <v/>
      </c>
      <c r="H854" s="62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ht="15.75" customHeight="1">
      <c r="A855" s="61"/>
      <c r="B855" s="61"/>
      <c r="C855" s="61"/>
      <c r="D855" s="61"/>
      <c r="E855" s="61"/>
      <c r="F855" s="61"/>
      <c r="G855" s="61" t="str">
        <f>IFERROR(__xludf.DUMMYFUNCTION("""COMPUTED_VALUE"""),"")</f>
        <v/>
      </c>
      <c r="H855" s="62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ht="15.75" customHeight="1">
      <c r="A856" s="61"/>
      <c r="B856" s="61"/>
      <c r="C856" s="61"/>
      <c r="D856" s="61"/>
      <c r="E856" s="61"/>
      <c r="F856" s="61"/>
      <c r="G856" s="61" t="str">
        <f>IFERROR(__xludf.DUMMYFUNCTION("""COMPUTED_VALUE"""),"")</f>
        <v/>
      </c>
      <c r="H856" s="62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ht="15.75" customHeight="1">
      <c r="A857" s="61"/>
      <c r="B857" s="61"/>
      <c r="C857" s="61"/>
      <c r="D857" s="61"/>
      <c r="E857" s="61"/>
      <c r="F857" s="61"/>
      <c r="G857" s="61" t="str">
        <f>IFERROR(__xludf.DUMMYFUNCTION("""COMPUTED_VALUE"""),"")</f>
        <v/>
      </c>
      <c r="H857" s="62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ht="15.75" customHeight="1">
      <c r="A858" s="61"/>
      <c r="B858" s="61"/>
      <c r="C858" s="61"/>
      <c r="D858" s="61"/>
      <c r="E858" s="61"/>
      <c r="F858" s="61"/>
      <c r="G858" s="61" t="str">
        <f>IFERROR(__xludf.DUMMYFUNCTION("""COMPUTED_VALUE"""),"")</f>
        <v/>
      </c>
      <c r="H858" s="62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ht="15.75" customHeight="1">
      <c r="A859" s="61"/>
      <c r="B859" s="61"/>
      <c r="C859" s="61"/>
      <c r="D859" s="61"/>
      <c r="E859" s="61"/>
      <c r="F859" s="61"/>
      <c r="G859" s="61" t="str">
        <f>IFERROR(__xludf.DUMMYFUNCTION("""COMPUTED_VALUE"""),"")</f>
        <v/>
      </c>
      <c r="H859" s="62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ht="15.75" customHeight="1">
      <c r="A860" s="61"/>
      <c r="B860" s="61"/>
      <c r="C860" s="61"/>
      <c r="D860" s="61"/>
      <c r="E860" s="61"/>
      <c r="F860" s="61"/>
      <c r="G860" s="61" t="str">
        <f>IFERROR(__xludf.DUMMYFUNCTION("""COMPUTED_VALUE"""),"")</f>
        <v/>
      </c>
      <c r="H860" s="62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ht="15.75" customHeight="1">
      <c r="A861" s="61"/>
      <c r="B861" s="61"/>
      <c r="C861" s="61"/>
      <c r="D861" s="61"/>
      <c r="E861" s="61"/>
      <c r="F861" s="61"/>
      <c r="G861" s="61" t="str">
        <f>IFERROR(__xludf.DUMMYFUNCTION("""COMPUTED_VALUE"""),"")</f>
        <v/>
      </c>
      <c r="H861" s="62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ht="15.75" customHeight="1">
      <c r="A862" s="61"/>
      <c r="B862" s="61"/>
      <c r="C862" s="61"/>
      <c r="D862" s="61"/>
      <c r="E862" s="61"/>
      <c r="F862" s="61"/>
      <c r="G862" s="61" t="str">
        <f>IFERROR(__xludf.DUMMYFUNCTION("""COMPUTED_VALUE"""),"")</f>
        <v/>
      </c>
      <c r="H862" s="62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ht="15.75" customHeight="1">
      <c r="A863" s="61"/>
      <c r="B863" s="61"/>
      <c r="C863" s="61"/>
      <c r="D863" s="61"/>
      <c r="E863" s="61"/>
      <c r="F863" s="61"/>
      <c r="G863" s="61" t="str">
        <f>IFERROR(__xludf.DUMMYFUNCTION("""COMPUTED_VALUE"""),"")</f>
        <v/>
      </c>
      <c r="H863" s="62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ht="15.75" customHeight="1">
      <c r="A864" s="61"/>
      <c r="B864" s="61"/>
      <c r="C864" s="61"/>
      <c r="D864" s="61"/>
      <c r="E864" s="61"/>
      <c r="F864" s="61"/>
      <c r="G864" s="61" t="str">
        <f>IFERROR(__xludf.DUMMYFUNCTION("""COMPUTED_VALUE"""),"")</f>
        <v/>
      </c>
      <c r="H864" s="62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ht="15.75" customHeight="1">
      <c r="A865" s="61"/>
      <c r="B865" s="61"/>
      <c r="C865" s="61"/>
      <c r="D865" s="61"/>
      <c r="E865" s="61"/>
      <c r="F865" s="61"/>
      <c r="G865" s="61" t="str">
        <f>IFERROR(__xludf.DUMMYFUNCTION("""COMPUTED_VALUE"""),"")</f>
        <v/>
      </c>
      <c r="H865" s="62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ht="15.75" customHeight="1">
      <c r="A866" s="61"/>
      <c r="B866" s="61"/>
      <c r="C866" s="61"/>
      <c r="D866" s="61"/>
      <c r="E866" s="61"/>
      <c r="F866" s="61"/>
      <c r="G866" s="61" t="str">
        <f>IFERROR(__xludf.DUMMYFUNCTION("""COMPUTED_VALUE"""),"")</f>
        <v/>
      </c>
      <c r="H866" s="62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ht="15.75" customHeight="1">
      <c r="A867" s="61"/>
      <c r="B867" s="61"/>
      <c r="C867" s="61"/>
      <c r="D867" s="61"/>
      <c r="E867" s="61"/>
      <c r="F867" s="61"/>
      <c r="G867" s="61" t="str">
        <f>IFERROR(__xludf.DUMMYFUNCTION("""COMPUTED_VALUE"""),"")</f>
        <v/>
      </c>
      <c r="H867" s="62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ht="15.75" customHeight="1">
      <c r="A868" s="61"/>
      <c r="B868" s="61"/>
      <c r="C868" s="61"/>
      <c r="D868" s="61"/>
      <c r="E868" s="61"/>
      <c r="F868" s="61"/>
      <c r="G868" s="61" t="str">
        <f>IFERROR(__xludf.DUMMYFUNCTION("""COMPUTED_VALUE"""),"")</f>
        <v/>
      </c>
      <c r="H868" s="62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ht="15.75" customHeight="1">
      <c r="A869" s="61"/>
      <c r="B869" s="61"/>
      <c r="C869" s="61"/>
      <c r="D869" s="61"/>
      <c r="E869" s="61"/>
      <c r="F869" s="61"/>
      <c r="G869" s="61" t="str">
        <f>IFERROR(__xludf.DUMMYFUNCTION("""COMPUTED_VALUE"""),"")</f>
        <v/>
      </c>
      <c r="H869" s="62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ht="15.75" customHeight="1">
      <c r="A870" s="61"/>
      <c r="B870" s="61"/>
      <c r="C870" s="61"/>
      <c r="D870" s="61"/>
      <c r="E870" s="61"/>
      <c r="F870" s="61"/>
      <c r="G870" s="61" t="str">
        <f>IFERROR(__xludf.DUMMYFUNCTION("""COMPUTED_VALUE"""),"")</f>
        <v/>
      </c>
      <c r="H870" s="62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ht="15.75" customHeight="1">
      <c r="A871" s="61"/>
      <c r="B871" s="61"/>
      <c r="C871" s="61"/>
      <c r="D871" s="61"/>
      <c r="E871" s="61"/>
      <c r="F871" s="61"/>
      <c r="G871" s="61" t="str">
        <f>IFERROR(__xludf.DUMMYFUNCTION("""COMPUTED_VALUE"""),"")</f>
        <v/>
      </c>
      <c r="H871" s="62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ht="15.75" customHeight="1">
      <c r="A872" s="61"/>
      <c r="B872" s="61"/>
      <c r="C872" s="61"/>
      <c r="D872" s="61"/>
      <c r="E872" s="61"/>
      <c r="F872" s="61"/>
      <c r="G872" s="61" t="str">
        <f>IFERROR(__xludf.DUMMYFUNCTION("""COMPUTED_VALUE"""),"")</f>
        <v/>
      </c>
      <c r="H872" s="62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ht="15.75" customHeight="1">
      <c r="A873" s="61"/>
      <c r="B873" s="61"/>
      <c r="C873" s="61"/>
      <c r="D873" s="61"/>
      <c r="E873" s="61"/>
      <c r="F873" s="61"/>
      <c r="G873" s="61" t="str">
        <f>IFERROR(__xludf.DUMMYFUNCTION("""COMPUTED_VALUE"""),"")</f>
        <v/>
      </c>
      <c r="H873" s="62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ht="15.75" customHeight="1">
      <c r="A874" s="61"/>
      <c r="B874" s="61"/>
      <c r="C874" s="61"/>
      <c r="D874" s="61"/>
      <c r="E874" s="61"/>
      <c r="F874" s="61"/>
      <c r="G874" s="61" t="str">
        <f>IFERROR(__xludf.DUMMYFUNCTION("""COMPUTED_VALUE"""),"")</f>
        <v/>
      </c>
      <c r="H874" s="62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ht="15.75" customHeight="1">
      <c r="A875" s="61"/>
      <c r="B875" s="61"/>
      <c r="C875" s="61"/>
      <c r="D875" s="61"/>
      <c r="E875" s="61"/>
      <c r="F875" s="61"/>
      <c r="G875" s="61" t="str">
        <f>IFERROR(__xludf.DUMMYFUNCTION("""COMPUTED_VALUE"""),"")</f>
        <v/>
      </c>
      <c r="H875" s="62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ht="15.75" customHeight="1">
      <c r="A876" s="61"/>
      <c r="B876" s="61"/>
      <c r="C876" s="61"/>
      <c r="D876" s="61"/>
      <c r="E876" s="61"/>
      <c r="F876" s="61"/>
      <c r="G876" s="61" t="str">
        <f>IFERROR(__xludf.DUMMYFUNCTION("""COMPUTED_VALUE"""),"")</f>
        <v/>
      </c>
      <c r="H876" s="62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ht="15.75" customHeight="1">
      <c r="A877" s="61"/>
      <c r="B877" s="61"/>
      <c r="C877" s="61"/>
      <c r="D877" s="61"/>
      <c r="E877" s="61"/>
      <c r="F877" s="61"/>
      <c r="G877" s="61" t="str">
        <f>IFERROR(__xludf.DUMMYFUNCTION("""COMPUTED_VALUE"""),"")</f>
        <v/>
      </c>
      <c r="H877" s="62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ht="15.75" customHeight="1">
      <c r="A878" s="61"/>
      <c r="B878" s="61"/>
      <c r="C878" s="61"/>
      <c r="D878" s="61"/>
      <c r="E878" s="61"/>
      <c r="F878" s="61"/>
      <c r="G878" s="61" t="str">
        <f>IFERROR(__xludf.DUMMYFUNCTION("""COMPUTED_VALUE"""),"")</f>
        <v/>
      </c>
      <c r="H878" s="62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ht="15.75" customHeight="1">
      <c r="A879" s="61"/>
      <c r="B879" s="61"/>
      <c r="C879" s="61"/>
      <c r="D879" s="61"/>
      <c r="E879" s="61"/>
      <c r="F879" s="61"/>
      <c r="G879" s="61" t="str">
        <f>IFERROR(__xludf.DUMMYFUNCTION("""COMPUTED_VALUE"""),"")</f>
        <v/>
      </c>
      <c r="H879" s="62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ht="15.75" customHeight="1">
      <c r="A880" s="61"/>
      <c r="B880" s="61"/>
      <c r="C880" s="61"/>
      <c r="D880" s="61"/>
      <c r="E880" s="61"/>
      <c r="F880" s="61"/>
      <c r="G880" s="61" t="str">
        <f>IFERROR(__xludf.DUMMYFUNCTION("""COMPUTED_VALUE"""),"")</f>
        <v/>
      </c>
      <c r="H880" s="62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ht="15.75" customHeight="1">
      <c r="A881" s="61"/>
      <c r="B881" s="61"/>
      <c r="C881" s="61"/>
      <c r="D881" s="61"/>
      <c r="E881" s="61"/>
      <c r="F881" s="61"/>
      <c r="G881" s="61" t="str">
        <f>IFERROR(__xludf.DUMMYFUNCTION("""COMPUTED_VALUE"""),"")</f>
        <v/>
      </c>
      <c r="H881" s="62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ht="15.75" customHeight="1">
      <c r="A882" s="61"/>
      <c r="B882" s="61"/>
      <c r="C882" s="61"/>
      <c r="D882" s="61"/>
      <c r="E882" s="61"/>
      <c r="F882" s="61"/>
      <c r="G882" s="61" t="str">
        <f>IFERROR(__xludf.DUMMYFUNCTION("""COMPUTED_VALUE"""),"")</f>
        <v/>
      </c>
      <c r="H882" s="62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ht="15.75" customHeight="1">
      <c r="A883" s="61"/>
      <c r="B883" s="61"/>
      <c r="C883" s="61"/>
      <c r="D883" s="61"/>
      <c r="E883" s="61"/>
      <c r="F883" s="61"/>
      <c r="G883" s="61" t="str">
        <f>IFERROR(__xludf.DUMMYFUNCTION("""COMPUTED_VALUE"""),"")</f>
        <v/>
      </c>
      <c r="H883" s="62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ht="15.75" customHeight="1">
      <c r="A884" s="61"/>
      <c r="B884" s="61"/>
      <c r="C884" s="61"/>
      <c r="D884" s="61"/>
      <c r="E884" s="61"/>
      <c r="F884" s="61"/>
      <c r="G884" s="61" t="str">
        <f>IFERROR(__xludf.DUMMYFUNCTION("""COMPUTED_VALUE"""),"")</f>
        <v/>
      </c>
      <c r="H884" s="62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ht="15.75" customHeight="1">
      <c r="A885" s="61"/>
      <c r="B885" s="61"/>
      <c r="C885" s="61"/>
      <c r="D885" s="61"/>
      <c r="E885" s="61"/>
      <c r="F885" s="61"/>
      <c r="G885" s="61" t="str">
        <f>IFERROR(__xludf.DUMMYFUNCTION("""COMPUTED_VALUE"""),"")</f>
        <v/>
      </c>
      <c r="H885" s="62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ht="15.75" customHeight="1">
      <c r="A886" s="61"/>
      <c r="B886" s="61"/>
      <c r="C886" s="61"/>
      <c r="D886" s="61"/>
      <c r="E886" s="61"/>
      <c r="F886" s="61"/>
      <c r="G886" s="61" t="str">
        <f>IFERROR(__xludf.DUMMYFUNCTION("""COMPUTED_VALUE"""),"")</f>
        <v/>
      </c>
      <c r="H886" s="62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ht="15.75" customHeight="1">
      <c r="A887" s="61"/>
      <c r="B887" s="61"/>
      <c r="C887" s="61"/>
      <c r="D887" s="61"/>
      <c r="E887" s="61"/>
      <c r="F887" s="61"/>
      <c r="G887" s="61" t="str">
        <f>IFERROR(__xludf.DUMMYFUNCTION("""COMPUTED_VALUE"""),"")</f>
        <v/>
      </c>
      <c r="H887" s="62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ht="15.75" customHeight="1">
      <c r="A888" s="61"/>
      <c r="B888" s="61"/>
      <c r="C888" s="61"/>
      <c r="D888" s="61"/>
      <c r="E888" s="61"/>
      <c r="F888" s="61"/>
      <c r="G888" s="61" t="str">
        <f>IFERROR(__xludf.DUMMYFUNCTION("""COMPUTED_VALUE"""),"")</f>
        <v/>
      </c>
      <c r="H888" s="62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ht="15.75" customHeight="1">
      <c r="A889" s="61"/>
      <c r="B889" s="61"/>
      <c r="C889" s="61"/>
      <c r="D889" s="61"/>
      <c r="E889" s="61"/>
      <c r="F889" s="61"/>
      <c r="G889" s="61" t="str">
        <f>IFERROR(__xludf.DUMMYFUNCTION("""COMPUTED_VALUE"""),"")</f>
        <v/>
      </c>
      <c r="H889" s="62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ht="15.75" customHeight="1">
      <c r="A890" s="61"/>
      <c r="B890" s="61"/>
      <c r="C890" s="61"/>
      <c r="D890" s="61"/>
      <c r="E890" s="61"/>
      <c r="F890" s="61"/>
      <c r="G890" s="61" t="str">
        <f>IFERROR(__xludf.DUMMYFUNCTION("""COMPUTED_VALUE"""),"")</f>
        <v/>
      </c>
      <c r="H890" s="62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ht="15.75" customHeight="1">
      <c r="A891" s="61"/>
      <c r="B891" s="61"/>
      <c r="C891" s="61"/>
      <c r="D891" s="61"/>
      <c r="E891" s="61"/>
      <c r="F891" s="61"/>
      <c r="G891" s="61" t="str">
        <f>IFERROR(__xludf.DUMMYFUNCTION("""COMPUTED_VALUE"""),"")</f>
        <v/>
      </c>
      <c r="H891" s="62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ht="15.75" customHeight="1">
      <c r="A892" s="61"/>
      <c r="B892" s="61"/>
      <c r="C892" s="61"/>
      <c r="D892" s="61"/>
      <c r="E892" s="61"/>
      <c r="F892" s="61"/>
      <c r="G892" s="61" t="str">
        <f>IFERROR(__xludf.DUMMYFUNCTION("""COMPUTED_VALUE"""),"")</f>
        <v/>
      </c>
      <c r="H892" s="62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ht="15.75" customHeight="1">
      <c r="A893" s="61"/>
      <c r="B893" s="61"/>
      <c r="C893" s="61"/>
      <c r="D893" s="61"/>
      <c r="E893" s="61"/>
      <c r="F893" s="61"/>
      <c r="G893" s="61" t="str">
        <f>IFERROR(__xludf.DUMMYFUNCTION("""COMPUTED_VALUE"""),"")</f>
        <v/>
      </c>
      <c r="H893" s="62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ht="15.75" customHeight="1">
      <c r="A894" s="61"/>
      <c r="B894" s="61"/>
      <c r="C894" s="61"/>
      <c r="D894" s="61"/>
      <c r="E894" s="61"/>
      <c r="F894" s="61"/>
      <c r="G894" s="61" t="str">
        <f>IFERROR(__xludf.DUMMYFUNCTION("""COMPUTED_VALUE"""),"")</f>
        <v/>
      </c>
      <c r="H894" s="62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ht="15.75" customHeight="1">
      <c r="A895" s="61"/>
      <c r="B895" s="61"/>
      <c r="C895" s="61"/>
      <c r="D895" s="61"/>
      <c r="E895" s="61"/>
      <c r="F895" s="61"/>
      <c r="G895" s="61" t="str">
        <f>IFERROR(__xludf.DUMMYFUNCTION("""COMPUTED_VALUE"""),"")</f>
        <v/>
      </c>
      <c r="H895" s="62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ht="15.75" customHeight="1">
      <c r="A896" s="61"/>
      <c r="B896" s="61"/>
      <c r="C896" s="61"/>
      <c r="D896" s="61"/>
      <c r="E896" s="61"/>
      <c r="F896" s="61"/>
      <c r="G896" s="61" t="str">
        <f>IFERROR(__xludf.DUMMYFUNCTION("""COMPUTED_VALUE"""),"")</f>
        <v/>
      </c>
      <c r="H896" s="62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ht="15.75" customHeight="1">
      <c r="A897" s="61"/>
      <c r="B897" s="61"/>
      <c r="C897" s="61"/>
      <c r="D897" s="61"/>
      <c r="E897" s="61"/>
      <c r="F897" s="61"/>
      <c r="G897" s="61" t="str">
        <f>IFERROR(__xludf.DUMMYFUNCTION("""COMPUTED_VALUE"""),"")</f>
        <v/>
      </c>
      <c r="H897" s="62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ht="15.75" customHeight="1">
      <c r="A898" s="61"/>
      <c r="B898" s="61"/>
      <c r="C898" s="61"/>
      <c r="D898" s="61"/>
      <c r="E898" s="61"/>
      <c r="F898" s="61"/>
      <c r="G898" s="61" t="str">
        <f>IFERROR(__xludf.DUMMYFUNCTION("""COMPUTED_VALUE"""),"")</f>
        <v/>
      </c>
      <c r="H898" s="62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ht="15.75" customHeight="1">
      <c r="A899" s="61"/>
      <c r="B899" s="61"/>
      <c r="C899" s="61"/>
      <c r="D899" s="61"/>
      <c r="E899" s="61"/>
      <c r="F899" s="61"/>
      <c r="G899" s="61" t="str">
        <f>IFERROR(__xludf.DUMMYFUNCTION("""COMPUTED_VALUE"""),"")</f>
        <v/>
      </c>
      <c r="H899" s="62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ht="15.75" customHeight="1">
      <c r="A900" s="61"/>
      <c r="B900" s="61"/>
      <c r="C900" s="61"/>
      <c r="D900" s="61"/>
      <c r="E900" s="61"/>
      <c r="F900" s="61"/>
      <c r="G900" s="61" t="str">
        <f>IFERROR(__xludf.DUMMYFUNCTION("""COMPUTED_VALUE"""),"")</f>
        <v/>
      </c>
      <c r="H900" s="62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ht="15.75" customHeight="1">
      <c r="A901" s="61"/>
      <c r="B901" s="61"/>
      <c r="C901" s="61"/>
      <c r="D901" s="61"/>
      <c r="E901" s="61"/>
      <c r="F901" s="61"/>
      <c r="G901" s="61" t="str">
        <f>IFERROR(__xludf.DUMMYFUNCTION("""COMPUTED_VALUE"""),"")</f>
        <v/>
      </c>
      <c r="H901" s="62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ht="15.75" customHeight="1">
      <c r="A902" s="61"/>
      <c r="B902" s="61"/>
      <c r="C902" s="61"/>
      <c r="D902" s="61"/>
      <c r="E902" s="61"/>
      <c r="F902" s="61"/>
      <c r="G902" s="61" t="str">
        <f>IFERROR(__xludf.DUMMYFUNCTION("""COMPUTED_VALUE"""),"")</f>
        <v/>
      </c>
      <c r="H902" s="62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ht="15.75" customHeight="1">
      <c r="A903" s="61"/>
      <c r="B903" s="61"/>
      <c r="C903" s="61"/>
      <c r="D903" s="61"/>
      <c r="E903" s="61"/>
      <c r="F903" s="61"/>
      <c r="G903" s="61" t="str">
        <f>IFERROR(__xludf.DUMMYFUNCTION("""COMPUTED_VALUE"""),"")</f>
        <v/>
      </c>
      <c r="H903" s="62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ht="15.75" customHeight="1">
      <c r="A904" s="61"/>
      <c r="B904" s="61"/>
      <c r="C904" s="61"/>
      <c r="D904" s="61"/>
      <c r="E904" s="61"/>
      <c r="F904" s="61"/>
      <c r="G904" s="61" t="str">
        <f>IFERROR(__xludf.DUMMYFUNCTION("""COMPUTED_VALUE"""),"")</f>
        <v/>
      </c>
      <c r="H904" s="62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ht="15.75" customHeight="1">
      <c r="A905" s="61"/>
      <c r="B905" s="61"/>
      <c r="C905" s="61"/>
      <c r="D905" s="61"/>
      <c r="E905" s="61"/>
      <c r="F905" s="61"/>
      <c r="G905" s="61" t="str">
        <f>IFERROR(__xludf.DUMMYFUNCTION("""COMPUTED_VALUE"""),"")</f>
        <v/>
      </c>
      <c r="H905" s="62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ht="15.75" customHeight="1">
      <c r="A906" s="61"/>
      <c r="B906" s="61"/>
      <c r="C906" s="61"/>
      <c r="D906" s="61"/>
      <c r="E906" s="61"/>
      <c r="F906" s="61"/>
      <c r="G906" s="61" t="str">
        <f>IFERROR(__xludf.DUMMYFUNCTION("""COMPUTED_VALUE"""),"")</f>
        <v/>
      </c>
      <c r="H906" s="62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ht="15.75" customHeight="1">
      <c r="A907" s="61"/>
      <c r="B907" s="61"/>
      <c r="C907" s="61"/>
      <c r="D907" s="61"/>
      <c r="E907" s="61"/>
      <c r="F907" s="61"/>
      <c r="G907" s="61" t="str">
        <f>IFERROR(__xludf.DUMMYFUNCTION("""COMPUTED_VALUE"""),"")</f>
        <v/>
      </c>
      <c r="H907" s="62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ht="15.75" customHeight="1">
      <c r="A908" s="61"/>
      <c r="B908" s="61"/>
      <c r="C908" s="61"/>
      <c r="D908" s="61"/>
      <c r="E908" s="61"/>
      <c r="F908" s="61"/>
      <c r="G908" s="61" t="str">
        <f>IFERROR(__xludf.DUMMYFUNCTION("""COMPUTED_VALUE"""),"")</f>
        <v/>
      </c>
      <c r="H908" s="62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ht="15.75" customHeight="1">
      <c r="A909" s="61"/>
      <c r="B909" s="61"/>
      <c r="C909" s="61"/>
      <c r="D909" s="61"/>
      <c r="E909" s="61"/>
      <c r="F909" s="61"/>
      <c r="G909" s="61" t="str">
        <f>IFERROR(__xludf.DUMMYFUNCTION("""COMPUTED_VALUE"""),"")</f>
        <v/>
      </c>
      <c r="H909" s="62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ht="15.75" customHeight="1">
      <c r="A910" s="61"/>
      <c r="B910" s="61"/>
      <c r="C910" s="61"/>
      <c r="D910" s="61"/>
      <c r="E910" s="61"/>
      <c r="F910" s="61"/>
      <c r="G910" s="61" t="str">
        <f>IFERROR(__xludf.DUMMYFUNCTION("""COMPUTED_VALUE"""),"")</f>
        <v/>
      </c>
      <c r="H910" s="62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ht="15.75" customHeight="1">
      <c r="A911" s="61"/>
      <c r="B911" s="61"/>
      <c r="C911" s="61"/>
      <c r="D911" s="61"/>
      <c r="E911" s="61"/>
      <c r="F911" s="61"/>
      <c r="G911" s="61" t="str">
        <f>IFERROR(__xludf.DUMMYFUNCTION("""COMPUTED_VALUE"""),"")</f>
        <v/>
      </c>
      <c r="H911" s="62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ht="15.75" customHeight="1">
      <c r="A912" s="61"/>
      <c r="B912" s="61"/>
      <c r="C912" s="61"/>
      <c r="D912" s="61"/>
      <c r="E912" s="61"/>
      <c r="F912" s="61"/>
      <c r="G912" s="61" t="str">
        <f>IFERROR(__xludf.DUMMYFUNCTION("""COMPUTED_VALUE"""),"")</f>
        <v/>
      </c>
      <c r="H912" s="62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ht="15.75" customHeight="1">
      <c r="A913" s="61"/>
      <c r="B913" s="61"/>
      <c r="C913" s="61"/>
      <c r="D913" s="61"/>
      <c r="E913" s="61"/>
      <c r="F913" s="61"/>
      <c r="G913" s="61" t="str">
        <f>IFERROR(__xludf.DUMMYFUNCTION("""COMPUTED_VALUE"""),"")</f>
        <v/>
      </c>
      <c r="H913" s="62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ht="15.75" customHeight="1">
      <c r="A914" s="61"/>
      <c r="B914" s="61"/>
      <c r="C914" s="61"/>
      <c r="D914" s="61"/>
      <c r="E914" s="61"/>
      <c r="F914" s="61"/>
      <c r="G914" s="61" t="str">
        <f>IFERROR(__xludf.DUMMYFUNCTION("""COMPUTED_VALUE"""),"")</f>
        <v/>
      </c>
      <c r="H914" s="62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ht="15.75" customHeight="1">
      <c r="A915" s="61"/>
      <c r="B915" s="61"/>
      <c r="C915" s="61"/>
      <c r="D915" s="61"/>
      <c r="E915" s="61"/>
      <c r="F915" s="61"/>
      <c r="G915" s="61" t="str">
        <f>IFERROR(__xludf.DUMMYFUNCTION("""COMPUTED_VALUE"""),"")</f>
        <v/>
      </c>
      <c r="H915" s="62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ht="15.75" customHeight="1">
      <c r="A916" s="61"/>
      <c r="B916" s="61"/>
      <c r="C916" s="61"/>
      <c r="D916" s="61"/>
      <c r="E916" s="61"/>
      <c r="F916" s="61"/>
      <c r="G916" s="61" t="str">
        <f>IFERROR(__xludf.DUMMYFUNCTION("""COMPUTED_VALUE"""),"")</f>
        <v/>
      </c>
      <c r="H916" s="62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ht="15.75" customHeight="1">
      <c r="A917" s="61"/>
      <c r="B917" s="61"/>
      <c r="C917" s="61"/>
      <c r="D917" s="61"/>
      <c r="E917" s="61"/>
      <c r="F917" s="61"/>
      <c r="G917" s="61" t="str">
        <f>IFERROR(__xludf.DUMMYFUNCTION("""COMPUTED_VALUE"""),"")</f>
        <v/>
      </c>
      <c r="H917" s="62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ht="15.75" customHeight="1">
      <c r="A918" s="61"/>
      <c r="B918" s="61"/>
      <c r="C918" s="61"/>
      <c r="D918" s="61"/>
      <c r="E918" s="61"/>
      <c r="F918" s="61"/>
      <c r="G918" s="61" t="str">
        <f>IFERROR(__xludf.DUMMYFUNCTION("""COMPUTED_VALUE"""),"")</f>
        <v/>
      </c>
      <c r="H918" s="62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ht="15.75" customHeight="1">
      <c r="A919" s="61"/>
      <c r="B919" s="61"/>
      <c r="C919" s="61"/>
      <c r="D919" s="61"/>
      <c r="E919" s="61"/>
      <c r="F919" s="61"/>
      <c r="G919" s="61" t="str">
        <f>IFERROR(__xludf.DUMMYFUNCTION("""COMPUTED_VALUE"""),"")</f>
        <v/>
      </c>
      <c r="H919" s="62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ht="15.75" customHeight="1">
      <c r="A920" s="61"/>
      <c r="B920" s="61"/>
      <c r="C920" s="61"/>
      <c r="D920" s="61"/>
      <c r="E920" s="61"/>
      <c r="F920" s="61"/>
      <c r="G920" s="61" t="str">
        <f>IFERROR(__xludf.DUMMYFUNCTION("""COMPUTED_VALUE"""),"")</f>
        <v/>
      </c>
      <c r="H920" s="62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ht="15.75" customHeight="1">
      <c r="A921" s="61"/>
      <c r="B921" s="61"/>
      <c r="C921" s="61"/>
      <c r="D921" s="61"/>
      <c r="E921" s="61"/>
      <c r="F921" s="61"/>
      <c r="G921" s="61" t="str">
        <f>IFERROR(__xludf.DUMMYFUNCTION("""COMPUTED_VALUE"""),"")</f>
        <v/>
      </c>
      <c r="H921" s="62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ht="15.75" customHeight="1">
      <c r="A922" s="61"/>
      <c r="B922" s="61"/>
      <c r="C922" s="61"/>
      <c r="D922" s="61"/>
      <c r="E922" s="61"/>
      <c r="F922" s="61"/>
      <c r="G922" s="61" t="str">
        <f>IFERROR(__xludf.DUMMYFUNCTION("""COMPUTED_VALUE"""),"")</f>
        <v/>
      </c>
      <c r="H922" s="62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ht="15.75" customHeight="1">
      <c r="A923" s="61"/>
      <c r="B923" s="61"/>
      <c r="C923" s="61"/>
      <c r="D923" s="61"/>
      <c r="E923" s="61"/>
      <c r="F923" s="61"/>
      <c r="G923" s="61" t="str">
        <f>IFERROR(__xludf.DUMMYFUNCTION("""COMPUTED_VALUE"""),"")</f>
        <v/>
      </c>
      <c r="H923" s="62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ht="15.75" customHeight="1">
      <c r="A924" s="61"/>
      <c r="B924" s="61"/>
      <c r="C924" s="61"/>
      <c r="D924" s="61"/>
      <c r="E924" s="61"/>
      <c r="F924" s="61"/>
      <c r="G924" s="61" t="str">
        <f>IFERROR(__xludf.DUMMYFUNCTION("""COMPUTED_VALUE"""),"")</f>
        <v/>
      </c>
      <c r="H924" s="62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ht="15.75" customHeight="1">
      <c r="A925" s="61"/>
      <c r="B925" s="61"/>
      <c r="C925" s="61"/>
      <c r="D925" s="61"/>
      <c r="E925" s="61"/>
      <c r="F925" s="61"/>
      <c r="G925" s="61" t="str">
        <f>IFERROR(__xludf.DUMMYFUNCTION("""COMPUTED_VALUE"""),"")</f>
        <v/>
      </c>
      <c r="H925" s="62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ht="15.75" customHeight="1">
      <c r="A926" s="61"/>
      <c r="B926" s="61"/>
      <c r="C926" s="61"/>
      <c r="D926" s="61"/>
      <c r="E926" s="61"/>
      <c r="F926" s="61"/>
      <c r="G926" s="61" t="str">
        <f>IFERROR(__xludf.DUMMYFUNCTION("""COMPUTED_VALUE"""),"")</f>
        <v/>
      </c>
      <c r="H926" s="62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ht="15.75" customHeight="1">
      <c r="A927" s="61"/>
      <c r="B927" s="61"/>
      <c r="C927" s="61"/>
      <c r="D927" s="61"/>
      <c r="E927" s="61"/>
      <c r="F927" s="61"/>
      <c r="G927" s="61" t="str">
        <f>IFERROR(__xludf.DUMMYFUNCTION("""COMPUTED_VALUE"""),"")</f>
        <v/>
      </c>
      <c r="H927" s="62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ht="15.75" customHeight="1">
      <c r="A928" s="61"/>
      <c r="B928" s="61"/>
      <c r="C928" s="61"/>
      <c r="D928" s="61"/>
      <c r="E928" s="61"/>
      <c r="F928" s="61"/>
      <c r="G928" s="61" t="str">
        <f>IFERROR(__xludf.DUMMYFUNCTION("""COMPUTED_VALUE"""),"")</f>
        <v/>
      </c>
      <c r="H928" s="62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ht="15.75" customHeight="1">
      <c r="A929" s="61"/>
      <c r="B929" s="61"/>
      <c r="C929" s="61"/>
      <c r="D929" s="61"/>
      <c r="E929" s="61"/>
      <c r="F929" s="61"/>
      <c r="G929" s="61" t="str">
        <f>IFERROR(__xludf.DUMMYFUNCTION("""COMPUTED_VALUE"""),"")</f>
        <v/>
      </c>
      <c r="H929" s="62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ht="15.75" customHeight="1">
      <c r="A930" s="61"/>
      <c r="B930" s="61"/>
      <c r="C930" s="61"/>
      <c r="D930" s="61"/>
      <c r="E930" s="61"/>
      <c r="F930" s="61"/>
      <c r="G930" s="61" t="str">
        <f>IFERROR(__xludf.DUMMYFUNCTION("""COMPUTED_VALUE"""),"")</f>
        <v/>
      </c>
      <c r="H930" s="62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ht="15.75" customHeight="1">
      <c r="A931" s="61"/>
      <c r="B931" s="61"/>
      <c r="C931" s="61"/>
      <c r="D931" s="61"/>
      <c r="E931" s="61"/>
      <c r="F931" s="61"/>
      <c r="G931" s="61" t="str">
        <f>IFERROR(__xludf.DUMMYFUNCTION("""COMPUTED_VALUE"""),"")</f>
        <v/>
      </c>
      <c r="H931" s="62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ht="15.75" customHeight="1">
      <c r="A932" s="61"/>
      <c r="B932" s="61"/>
      <c r="C932" s="61"/>
      <c r="D932" s="61"/>
      <c r="E932" s="61"/>
      <c r="F932" s="61"/>
      <c r="G932" s="61" t="str">
        <f>IFERROR(__xludf.DUMMYFUNCTION("""COMPUTED_VALUE"""),"")</f>
        <v/>
      </c>
      <c r="H932" s="62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ht="15.75" customHeight="1">
      <c r="A933" s="61"/>
      <c r="B933" s="61"/>
      <c r="C933" s="61"/>
      <c r="D933" s="61"/>
      <c r="E933" s="61"/>
      <c r="F933" s="61"/>
      <c r="G933" s="61" t="str">
        <f>IFERROR(__xludf.DUMMYFUNCTION("""COMPUTED_VALUE"""),"")</f>
        <v/>
      </c>
      <c r="H933" s="62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ht="15.75" customHeight="1">
      <c r="A934" s="61"/>
      <c r="B934" s="61"/>
      <c r="C934" s="61"/>
      <c r="D934" s="61"/>
      <c r="E934" s="61"/>
      <c r="F934" s="61"/>
      <c r="G934" s="61" t="str">
        <f>IFERROR(__xludf.DUMMYFUNCTION("""COMPUTED_VALUE"""),"")</f>
        <v/>
      </c>
      <c r="H934" s="62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ht="15.75" customHeight="1">
      <c r="A935" s="61"/>
      <c r="B935" s="61"/>
      <c r="C935" s="61"/>
      <c r="D935" s="61"/>
      <c r="E935" s="61"/>
      <c r="F935" s="61"/>
      <c r="G935" s="61" t="str">
        <f>IFERROR(__xludf.DUMMYFUNCTION("""COMPUTED_VALUE"""),"")</f>
        <v/>
      </c>
      <c r="H935" s="62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ht="15.75" customHeight="1">
      <c r="A936" s="61"/>
      <c r="B936" s="61"/>
      <c r="C936" s="61"/>
      <c r="D936" s="61"/>
      <c r="E936" s="61"/>
      <c r="F936" s="61"/>
      <c r="G936" s="61" t="str">
        <f>IFERROR(__xludf.DUMMYFUNCTION("""COMPUTED_VALUE"""),"")</f>
        <v/>
      </c>
      <c r="H936" s="62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ht="15.75" customHeight="1">
      <c r="A937" s="61"/>
      <c r="B937" s="61"/>
      <c r="C937" s="61"/>
      <c r="D937" s="61"/>
      <c r="E937" s="61"/>
      <c r="F937" s="61"/>
      <c r="G937" s="61" t="str">
        <f>IFERROR(__xludf.DUMMYFUNCTION("""COMPUTED_VALUE"""),"")</f>
        <v/>
      </c>
      <c r="H937" s="62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ht="15.75" customHeight="1">
      <c r="A938" s="61"/>
      <c r="B938" s="61"/>
      <c r="C938" s="61"/>
      <c r="D938" s="61"/>
      <c r="E938" s="61"/>
      <c r="F938" s="61"/>
      <c r="G938" s="61" t="str">
        <f>IFERROR(__xludf.DUMMYFUNCTION("""COMPUTED_VALUE"""),"")</f>
        <v/>
      </c>
      <c r="H938" s="62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ht="15.75" customHeight="1">
      <c r="A939" s="61"/>
      <c r="B939" s="61"/>
      <c r="C939" s="61"/>
      <c r="D939" s="61"/>
      <c r="E939" s="61"/>
      <c r="F939" s="61"/>
      <c r="G939" s="61" t="str">
        <f>IFERROR(__xludf.DUMMYFUNCTION("""COMPUTED_VALUE"""),"")</f>
        <v/>
      </c>
      <c r="H939" s="62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ht="15.75" customHeight="1">
      <c r="A940" s="61"/>
      <c r="B940" s="61"/>
      <c r="C940" s="61"/>
      <c r="D940" s="61"/>
      <c r="E940" s="61"/>
      <c r="F940" s="61"/>
      <c r="G940" s="61" t="str">
        <f>IFERROR(__xludf.DUMMYFUNCTION("""COMPUTED_VALUE"""),"")</f>
        <v/>
      </c>
      <c r="H940" s="62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ht="15.75" customHeight="1">
      <c r="A941" s="61"/>
      <c r="B941" s="61"/>
      <c r="C941" s="61"/>
      <c r="D941" s="61"/>
      <c r="E941" s="61"/>
      <c r="F941" s="61"/>
      <c r="G941" s="61" t="str">
        <f>IFERROR(__xludf.DUMMYFUNCTION("""COMPUTED_VALUE"""),"")</f>
        <v/>
      </c>
      <c r="H941" s="62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ht="15.75" customHeight="1">
      <c r="A942" s="61"/>
      <c r="B942" s="61"/>
      <c r="C942" s="61"/>
      <c r="D942" s="61"/>
      <c r="E942" s="61"/>
      <c r="F942" s="61"/>
      <c r="G942" s="61" t="str">
        <f>IFERROR(__xludf.DUMMYFUNCTION("""COMPUTED_VALUE"""),"")</f>
        <v/>
      </c>
      <c r="H942" s="62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ht="15.75" customHeight="1">
      <c r="A943" s="61"/>
      <c r="B943" s="61"/>
      <c r="C943" s="61"/>
      <c r="D943" s="61"/>
      <c r="E943" s="61"/>
      <c r="F943" s="61"/>
      <c r="G943" s="61" t="str">
        <f>IFERROR(__xludf.DUMMYFUNCTION("""COMPUTED_VALUE"""),"")</f>
        <v/>
      </c>
      <c r="H943" s="62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ht="15.75" customHeight="1">
      <c r="A944" s="61"/>
      <c r="B944" s="61"/>
      <c r="C944" s="61"/>
      <c r="D944" s="61"/>
      <c r="E944" s="61"/>
      <c r="F944" s="61"/>
      <c r="G944" s="61" t="str">
        <f>IFERROR(__xludf.DUMMYFUNCTION("""COMPUTED_VALUE"""),"")</f>
        <v/>
      </c>
      <c r="H944" s="62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ht="15.75" customHeight="1">
      <c r="A945" s="61"/>
      <c r="B945" s="61"/>
      <c r="C945" s="61"/>
      <c r="D945" s="61"/>
      <c r="E945" s="61"/>
      <c r="F945" s="61"/>
      <c r="G945" s="61" t="str">
        <f>IFERROR(__xludf.DUMMYFUNCTION("""COMPUTED_VALUE"""),"")</f>
        <v/>
      </c>
      <c r="H945" s="62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ht="15.75" customHeight="1">
      <c r="A946" s="61"/>
      <c r="B946" s="61"/>
      <c r="C946" s="61"/>
      <c r="D946" s="61"/>
      <c r="E946" s="61"/>
      <c r="F946" s="61"/>
      <c r="G946" s="61" t="str">
        <f>IFERROR(__xludf.DUMMYFUNCTION("""COMPUTED_VALUE"""),"")</f>
        <v/>
      </c>
      <c r="H946" s="62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ht="15.75" customHeight="1">
      <c r="A947" s="61"/>
      <c r="B947" s="61"/>
      <c r="C947" s="61"/>
      <c r="D947" s="61"/>
      <c r="E947" s="61"/>
      <c r="F947" s="61"/>
      <c r="G947" s="61" t="str">
        <f>IFERROR(__xludf.DUMMYFUNCTION("""COMPUTED_VALUE"""),"")</f>
        <v/>
      </c>
      <c r="H947" s="62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ht="15.75" customHeight="1">
      <c r="A948" s="61"/>
      <c r="B948" s="61"/>
      <c r="C948" s="61"/>
      <c r="D948" s="61"/>
      <c r="E948" s="61"/>
      <c r="F948" s="61"/>
      <c r="G948" s="61" t="str">
        <f>IFERROR(__xludf.DUMMYFUNCTION("""COMPUTED_VALUE"""),"")</f>
        <v/>
      </c>
      <c r="H948" s="62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ht="15.75" customHeight="1">
      <c r="A949" s="61"/>
      <c r="B949" s="61"/>
      <c r="C949" s="61"/>
      <c r="D949" s="61"/>
      <c r="E949" s="61"/>
      <c r="F949" s="61"/>
      <c r="G949" s="61" t="str">
        <f>IFERROR(__xludf.DUMMYFUNCTION("""COMPUTED_VALUE"""),"")</f>
        <v/>
      </c>
      <c r="H949" s="62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ht="15.75" customHeight="1">
      <c r="A950" s="61"/>
      <c r="B950" s="61"/>
      <c r="C950" s="61"/>
      <c r="D950" s="61"/>
      <c r="E950" s="61"/>
      <c r="F950" s="61"/>
      <c r="G950" s="61" t="str">
        <f>IFERROR(__xludf.DUMMYFUNCTION("""COMPUTED_VALUE"""),"")</f>
        <v/>
      </c>
      <c r="H950" s="62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ht="15.75" customHeight="1">
      <c r="A951" s="61"/>
      <c r="B951" s="61"/>
      <c r="C951" s="61"/>
      <c r="D951" s="61"/>
      <c r="E951" s="61"/>
      <c r="F951" s="61"/>
      <c r="G951" s="61" t="str">
        <f>IFERROR(__xludf.DUMMYFUNCTION("""COMPUTED_VALUE"""),"")</f>
        <v/>
      </c>
      <c r="H951" s="62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ht="15.75" customHeight="1">
      <c r="A952" s="61"/>
      <c r="B952" s="61"/>
      <c r="C952" s="61"/>
      <c r="D952" s="61"/>
      <c r="E952" s="61"/>
      <c r="F952" s="61"/>
      <c r="G952" s="61" t="str">
        <f>IFERROR(__xludf.DUMMYFUNCTION("""COMPUTED_VALUE"""),"")</f>
        <v/>
      </c>
      <c r="H952" s="62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ht="15.75" customHeight="1">
      <c r="A953" s="61"/>
      <c r="B953" s="61"/>
      <c r="C953" s="61"/>
      <c r="D953" s="61"/>
      <c r="E953" s="61"/>
      <c r="F953" s="61"/>
      <c r="G953" s="61" t="str">
        <f>IFERROR(__xludf.DUMMYFUNCTION("""COMPUTED_VALUE"""),"")</f>
        <v/>
      </c>
      <c r="H953" s="62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ht="15.75" customHeight="1">
      <c r="A954" s="61"/>
      <c r="B954" s="61"/>
      <c r="C954" s="61"/>
      <c r="D954" s="61"/>
      <c r="E954" s="61"/>
      <c r="F954" s="61"/>
      <c r="G954" s="61" t="str">
        <f>IFERROR(__xludf.DUMMYFUNCTION("""COMPUTED_VALUE"""),"")</f>
        <v/>
      </c>
      <c r="H954" s="62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ht="15.75" customHeight="1">
      <c r="A955" s="61"/>
      <c r="B955" s="61"/>
      <c r="C955" s="61"/>
      <c r="D955" s="61"/>
      <c r="E955" s="61"/>
      <c r="F955" s="61"/>
      <c r="G955" s="61" t="str">
        <f>IFERROR(__xludf.DUMMYFUNCTION("""COMPUTED_VALUE"""),"")</f>
        <v/>
      </c>
      <c r="H955" s="62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ht="15.75" customHeight="1">
      <c r="A956" s="61"/>
      <c r="B956" s="61"/>
      <c r="C956" s="61"/>
      <c r="D956" s="61"/>
      <c r="E956" s="61"/>
      <c r="F956" s="61"/>
      <c r="G956" s="61" t="str">
        <f>IFERROR(__xludf.DUMMYFUNCTION("""COMPUTED_VALUE"""),"")</f>
        <v/>
      </c>
      <c r="H956" s="62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ht="15.75" customHeight="1">
      <c r="A957" s="61"/>
      <c r="B957" s="61"/>
      <c r="C957" s="61"/>
      <c r="D957" s="61"/>
      <c r="E957" s="61"/>
      <c r="F957" s="61"/>
      <c r="G957" s="61" t="str">
        <f>IFERROR(__xludf.DUMMYFUNCTION("""COMPUTED_VALUE"""),"")</f>
        <v/>
      </c>
      <c r="H957" s="62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ht="15.75" customHeight="1">
      <c r="A958" s="61"/>
      <c r="B958" s="61"/>
      <c r="C958" s="61"/>
      <c r="D958" s="61"/>
      <c r="E958" s="61"/>
      <c r="F958" s="61"/>
      <c r="G958" s="61" t="str">
        <f>IFERROR(__xludf.DUMMYFUNCTION("""COMPUTED_VALUE"""),"")</f>
        <v/>
      </c>
      <c r="H958" s="62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ht="15.75" customHeight="1">
      <c r="A959" s="61"/>
      <c r="B959" s="61"/>
      <c r="C959" s="61"/>
      <c r="D959" s="61"/>
      <c r="E959" s="61"/>
      <c r="F959" s="61"/>
      <c r="G959" s="61" t="str">
        <f>IFERROR(__xludf.DUMMYFUNCTION("""COMPUTED_VALUE"""),"")</f>
        <v/>
      </c>
      <c r="H959" s="62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ht="15.75" customHeight="1">
      <c r="A960" s="61"/>
      <c r="B960" s="61"/>
      <c r="C960" s="61"/>
      <c r="D960" s="61"/>
      <c r="E960" s="61"/>
      <c r="F960" s="61"/>
      <c r="G960" s="61" t="str">
        <f>IFERROR(__xludf.DUMMYFUNCTION("""COMPUTED_VALUE"""),"")</f>
        <v/>
      </c>
      <c r="H960" s="62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ht="15.75" customHeight="1">
      <c r="A961" s="61"/>
      <c r="B961" s="61"/>
      <c r="C961" s="61"/>
      <c r="D961" s="61"/>
      <c r="E961" s="61"/>
      <c r="F961" s="61"/>
      <c r="G961" s="61" t="str">
        <f>IFERROR(__xludf.DUMMYFUNCTION("""COMPUTED_VALUE"""),"")</f>
        <v/>
      </c>
      <c r="H961" s="62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ht="15.75" customHeight="1">
      <c r="A962" s="61"/>
      <c r="B962" s="61"/>
      <c r="C962" s="61"/>
      <c r="D962" s="61"/>
      <c r="E962" s="61"/>
      <c r="F962" s="61"/>
      <c r="G962" s="61" t="str">
        <f>IFERROR(__xludf.DUMMYFUNCTION("""COMPUTED_VALUE"""),"")</f>
        <v/>
      </c>
      <c r="H962" s="62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ht="15.75" customHeight="1">
      <c r="A963" s="61"/>
      <c r="B963" s="61"/>
      <c r="C963" s="61"/>
      <c r="D963" s="61"/>
      <c r="E963" s="61"/>
      <c r="F963" s="61"/>
      <c r="G963" s="61" t="str">
        <f>IFERROR(__xludf.DUMMYFUNCTION("""COMPUTED_VALUE"""),"")</f>
        <v/>
      </c>
      <c r="H963" s="62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ht="15.75" customHeight="1">
      <c r="A964" s="61"/>
      <c r="B964" s="61"/>
      <c r="C964" s="61"/>
      <c r="D964" s="61"/>
      <c r="E964" s="61"/>
      <c r="F964" s="61"/>
      <c r="G964" s="61" t="str">
        <f>IFERROR(__xludf.DUMMYFUNCTION("""COMPUTED_VALUE"""),"")</f>
        <v/>
      </c>
      <c r="H964" s="62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ht="15.75" customHeight="1">
      <c r="A965" s="61"/>
      <c r="B965" s="61"/>
      <c r="C965" s="61"/>
      <c r="D965" s="61"/>
      <c r="E965" s="61"/>
      <c r="F965" s="61"/>
      <c r="G965" s="61" t="str">
        <f>IFERROR(__xludf.DUMMYFUNCTION("""COMPUTED_VALUE"""),"")</f>
        <v/>
      </c>
      <c r="H965" s="62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ht="15.75" customHeight="1">
      <c r="A966" s="61"/>
      <c r="B966" s="61"/>
      <c r="C966" s="61"/>
      <c r="D966" s="61"/>
      <c r="E966" s="61"/>
      <c r="F966" s="61"/>
      <c r="G966" s="61" t="str">
        <f>IFERROR(__xludf.DUMMYFUNCTION("""COMPUTED_VALUE"""),"")</f>
        <v/>
      </c>
      <c r="H966" s="62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ht="15.75" customHeight="1">
      <c r="A967" s="61"/>
      <c r="B967" s="61"/>
      <c r="C967" s="61"/>
      <c r="D967" s="61"/>
      <c r="E967" s="61"/>
      <c r="F967" s="61"/>
      <c r="G967" s="61" t="str">
        <f>IFERROR(__xludf.DUMMYFUNCTION("""COMPUTED_VALUE"""),"")</f>
        <v/>
      </c>
      <c r="H967" s="62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ht="15.75" customHeight="1">
      <c r="A968" s="61"/>
      <c r="B968" s="61"/>
      <c r="C968" s="61"/>
      <c r="D968" s="61"/>
      <c r="E968" s="61"/>
      <c r="F968" s="61"/>
      <c r="G968" s="61" t="str">
        <f>IFERROR(__xludf.DUMMYFUNCTION("""COMPUTED_VALUE"""),"")</f>
        <v/>
      </c>
      <c r="H968" s="62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ht="15.75" customHeight="1">
      <c r="A969" s="61"/>
      <c r="B969" s="61"/>
      <c r="C969" s="61"/>
      <c r="D969" s="61"/>
      <c r="E969" s="61"/>
      <c r="F969" s="61"/>
      <c r="G969" s="61" t="str">
        <f>IFERROR(__xludf.DUMMYFUNCTION("""COMPUTED_VALUE"""),"")</f>
        <v/>
      </c>
      <c r="H969" s="62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ht="15.75" customHeight="1">
      <c r="A970" s="61"/>
      <c r="B970" s="61"/>
      <c r="C970" s="61"/>
      <c r="D970" s="61"/>
      <c r="E970" s="61"/>
      <c r="F970" s="61"/>
      <c r="G970" s="61" t="str">
        <f>IFERROR(__xludf.DUMMYFUNCTION("""COMPUTED_VALUE"""),"")</f>
        <v/>
      </c>
      <c r="H970" s="62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ht="15.75" customHeight="1">
      <c r="A971" s="61"/>
      <c r="B971" s="61"/>
      <c r="C971" s="61"/>
      <c r="D971" s="61"/>
      <c r="E971" s="61"/>
      <c r="F971" s="61"/>
      <c r="G971" s="61" t="str">
        <f>IFERROR(__xludf.DUMMYFUNCTION("""COMPUTED_VALUE"""),"")</f>
        <v/>
      </c>
      <c r="H971" s="62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ht="15.75" customHeight="1">
      <c r="A972" s="61"/>
      <c r="B972" s="61"/>
      <c r="C972" s="61"/>
      <c r="D972" s="61"/>
      <c r="E972" s="61"/>
      <c r="F972" s="61"/>
      <c r="G972" s="61" t="str">
        <f>IFERROR(__xludf.DUMMYFUNCTION("""COMPUTED_VALUE"""),"")</f>
        <v/>
      </c>
      <c r="H972" s="62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ht="15.75" customHeight="1">
      <c r="A973" s="61"/>
      <c r="B973" s="61"/>
      <c r="C973" s="61"/>
      <c r="D973" s="61"/>
      <c r="E973" s="61"/>
      <c r="F973" s="61"/>
      <c r="G973" s="61" t="str">
        <f>IFERROR(__xludf.DUMMYFUNCTION("""COMPUTED_VALUE"""),"")</f>
        <v/>
      </c>
      <c r="H973" s="62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ht="15.75" customHeight="1">
      <c r="A974" s="61"/>
      <c r="B974" s="61"/>
      <c r="C974" s="61"/>
      <c r="D974" s="61"/>
      <c r="E974" s="61"/>
      <c r="F974" s="61"/>
      <c r="G974" s="61" t="str">
        <f>IFERROR(__xludf.DUMMYFUNCTION("""COMPUTED_VALUE"""),"")</f>
        <v/>
      </c>
      <c r="H974" s="62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ht="15.75" customHeight="1">
      <c r="A975" s="61"/>
      <c r="B975" s="61"/>
      <c r="C975" s="61"/>
      <c r="D975" s="61"/>
      <c r="E975" s="61"/>
      <c r="F975" s="61"/>
      <c r="G975" s="61" t="str">
        <f>IFERROR(__xludf.DUMMYFUNCTION("""COMPUTED_VALUE"""),"")</f>
        <v/>
      </c>
      <c r="H975" s="62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ht="15.75" customHeight="1">
      <c r="A976" s="61"/>
      <c r="B976" s="61"/>
      <c r="C976" s="61"/>
      <c r="D976" s="61"/>
      <c r="E976" s="61"/>
      <c r="F976" s="61"/>
      <c r="G976" s="61" t="str">
        <f>IFERROR(__xludf.DUMMYFUNCTION("""COMPUTED_VALUE"""),"")</f>
        <v/>
      </c>
      <c r="H976" s="62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ht="15.75" customHeight="1">
      <c r="A977" s="61"/>
      <c r="B977" s="61"/>
      <c r="C977" s="61"/>
      <c r="D977" s="61"/>
      <c r="E977" s="61"/>
      <c r="F977" s="61"/>
      <c r="G977" s="61" t="str">
        <f>IFERROR(__xludf.DUMMYFUNCTION("""COMPUTED_VALUE"""),"")</f>
        <v/>
      </c>
      <c r="H977" s="62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ht="15.75" customHeight="1">
      <c r="A978" s="61"/>
      <c r="B978" s="61"/>
      <c r="C978" s="61"/>
      <c r="D978" s="61"/>
      <c r="E978" s="61"/>
      <c r="F978" s="61"/>
      <c r="G978" s="61" t="str">
        <f>IFERROR(__xludf.DUMMYFUNCTION("""COMPUTED_VALUE"""),"")</f>
        <v/>
      </c>
      <c r="H978" s="62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ht="15.75" customHeight="1">
      <c r="A979" s="61"/>
      <c r="B979" s="61"/>
      <c r="C979" s="61"/>
      <c r="D979" s="61"/>
      <c r="E979" s="61"/>
      <c r="F979" s="61"/>
      <c r="G979" s="61" t="str">
        <f>IFERROR(__xludf.DUMMYFUNCTION("""COMPUTED_VALUE"""),"")</f>
        <v/>
      </c>
      <c r="H979" s="62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ht="15.75" customHeight="1">
      <c r="A980" s="61"/>
      <c r="B980" s="61"/>
      <c r="C980" s="61"/>
      <c r="D980" s="61"/>
      <c r="E980" s="61"/>
      <c r="F980" s="61"/>
      <c r="G980" s="61" t="str">
        <f>IFERROR(__xludf.DUMMYFUNCTION("""COMPUTED_VALUE"""),"")</f>
        <v/>
      </c>
      <c r="H980" s="62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ht="15.75" customHeight="1">
      <c r="A981" s="61"/>
      <c r="B981" s="61"/>
      <c r="C981" s="61"/>
      <c r="D981" s="61"/>
      <c r="E981" s="61"/>
      <c r="F981" s="61"/>
      <c r="G981" s="61" t="str">
        <f>IFERROR(__xludf.DUMMYFUNCTION("""COMPUTED_VALUE"""),"")</f>
        <v/>
      </c>
      <c r="H981" s="62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ht="15.75" customHeight="1">
      <c r="A982" s="61"/>
      <c r="B982" s="61"/>
      <c r="C982" s="61"/>
      <c r="D982" s="61"/>
      <c r="E982" s="61"/>
      <c r="F982" s="61"/>
      <c r="G982" s="61" t="str">
        <f>IFERROR(__xludf.DUMMYFUNCTION("""COMPUTED_VALUE"""),"")</f>
        <v/>
      </c>
      <c r="H982" s="62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ht="15.75" customHeight="1">
      <c r="A983" s="61"/>
      <c r="B983" s="61"/>
      <c r="C983" s="61"/>
      <c r="D983" s="61"/>
      <c r="E983" s="61"/>
      <c r="F983" s="61"/>
      <c r="G983" s="61" t="str">
        <f>IFERROR(__xludf.DUMMYFUNCTION("""COMPUTED_VALUE"""),"")</f>
        <v/>
      </c>
      <c r="H983" s="62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ht="15.75" customHeight="1">
      <c r="A984" s="61"/>
      <c r="B984" s="61"/>
      <c r="C984" s="61"/>
      <c r="D984" s="61"/>
      <c r="E984" s="61"/>
      <c r="F984" s="61"/>
      <c r="G984" s="61" t="str">
        <f>IFERROR(__xludf.DUMMYFUNCTION("""COMPUTED_VALUE"""),"")</f>
        <v/>
      </c>
      <c r="H984" s="62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ht="15.75" customHeight="1">
      <c r="A985" s="61"/>
      <c r="B985" s="61"/>
      <c r="C985" s="61"/>
      <c r="D985" s="61"/>
      <c r="E985" s="61"/>
      <c r="F985" s="61"/>
      <c r="G985" s="61" t="str">
        <f>IFERROR(__xludf.DUMMYFUNCTION("""COMPUTED_VALUE"""),"")</f>
        <v/>
      </c>
      <c r="H985" s="62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ht="15.75" customHeight="1">
      <c r="A986" s="61"/>
      <c r="B986" s="61"/>
      <c r="C986" s="61"/>
      <c r="D986" s="61"/>
      <c r="E986" s="61"/>
      <c r="F986" s="61"/>
      <c r="G986" s="61" t="str">
        <f>IFERROR(__xludf.DUMMYFUNCTION("""COMPUTED_VALUE"""),"")</f>
        <v/>
      </c>
      <c r="H986" s="62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ht="15.75" customHeight="1">
      <c r="A987" s="61"/>
      <c r="B987" s="61"/>
      <c r="C987" s="61"/>
      <c r="D987" s="61"/>
      <c r="E987" s="61"/>
      <c r="F987" s="61"/>
      <c r="G987" s="61" t="str">
        <f>IFERROR(__xludf.DUMMYFUNCTION("""COMPUTED_VALUE"""),"")</f>
        <v/>
      </c>
      <c r="H987" s="62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ht="15.75" customHeight="1">
      <c r="A988" s="61"/>
      <c r="B988" s="61"/>
      <c r="C988" s="61"/>
      <c r="D988" s="61"/>
      <c r="E988" s="61"/>
      <c r="F988" s="61"/>
      <c r="G988" s="61" t="str">
        <f>IFERROR(__xludf.DUMMYFUNCTION("""COMPUTED_VALUE"""),"")</f>
        <v/>
      </c>
      <c r="H988" s="62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ht="15.75" customHeight="1">
      <c r="A989" s="61"/>
      <c r="B989" s="61"/>
      <c r="C989" s="61"/>
      <c r="D989" s="61"/>
      <c r="E989" s="61"/>
      <c r="F989" s="61"/>
      <c r="G989" s="61" t="str">
        <f>IFERROR(__xludf.DUMMYFUNCTION("""COMPUTED_VALUE"""),"")</f>
        <v/>
      </c>
      <c r="H989" s="62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ht="15.75" customHeight="1">
      <c r="A990" s="61"/>
      <c r="B990" s="61"/>
      <c r="C990" s="61"/>
      <c r="D990" s="61"/>
      <c r="E990" s="61"/>
      <c r="F990" s="61"/>
      <c r="G990" s="61" t="str">
        <f>IFERROR(__xludf.DUMMYFUNCTION("""COMPUTED_VALUE"""),"")</f>
        <v/>
      </c>
      <c r="H990" s="62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ht="15.75" customHeight="1">
      <c r="A991" s="61"/>
      <c r="B991" s="61"/>
      <c r="C991" s="61"/>
      <c r="D991" s="61"/>
      <c r="E991" s="61"/>
      <c r="F991" s="61"/>
      <c r="G991" s="61" t="str">
        <f>IFERROR(__xludf.DUMMYFUNCTION("""COMPUTED_VALUE"""),"")</f>
        <v/>
      </c>
      <c r="H991" s="62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ht="15.75" customHeight="1">
      <c r="A992" s="61"/>
      <c r="B992" s="61"/>
      <c r="C992" s="61"/>
      <c r="D992" s="61"/>
      <c r="E992" s="61"/>
      <c r="F992" s="61"/>
      <c r="G992" s="61" t="str">
        <f>IFERROR(__xludf.DUMMYFUNCTION("""COMPUTED_VALUE"""),"")</f>
        <v/>
      </c>
      <c r="H992" s="62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ht="15.75" customHeight="1">
      <c r="A993" s="61"/>
      <c r="B993" s="61"/>
      <c r="C993" s="61"/>
      <c r="D993" s="61"/>
      <c r="E993" s="61"/>
      <c r="F993" s="61"/>
      <c r="G993" s="61" t="str">
        <f>IFERROR(__xludf.DUMMYFUNCTION("""COMPUTED_VALUE"""),"")</f>
        <v/>
      </c>
      <c r="H993" s="62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ht="15.75" customHeight="1">
      <c r="A994" s="61"/>
      <c r="B994" s="61"/>
      <c r="C994" s="61"/>
      <c r="D994" s="61"/>
      <c r="E994" s="61"/>
      <c r="F994" s="61"/>
      <c r="G994" s="61" t="str">
        <f>IFERROR(__xludf.DUMMYFUNCTION("""COMPUTED_VALUE"""),"")</f>
        <v/>
      </c>
      <c r="H994" s="62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ht="15.75" customHeight="1">
      <c r="A995" s="61"/>
      <c r="B995" s="61"/>
      <c r="C995" s="61"/>
      <c r="D995" s="61"/>
      <c r="E995" s="61"/>
      <c r="F995" s="61"/>
      <c r="G995" s="61" t="str">
        <f>IFERROR(__xludf.DUMMYFUNCTION("""COMPUTED_VALUE"""),"")</f>
        <v/>
      </c>
      <c r="H995" s="62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ht="15.75" customHeight="1">
      <c r="A996" s="61"/>
      <c r="B996" s="61"/>
      <c r="C996" s="61"/>
      <c r="D996" s="61"/>
      <c r="E996" s="61"/>
      <c r="F996" s="61"/>
      <c r="G996" s="61" t="str">
        <f>IFERROR(__xludf.DUMMYFUNCTION("""COMPUTED_VALUE"""),"")</f>
        <v/>
      </c>
      <c r="H996" s="62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ht="15.75" customHeight="1">
      <c r="A997" s="61"/>
      <c r="B997" s="61"/>
      <c r="C997" s="61"/>
      <c r="D997" s="61"/>
      <c r="E997" s="61"/>
      <c r="F997" s="61"/>
      <c r="G997" s="61" t="str">
        <f>IFERROR(__xludf.DUMMYFUNCTION("""COMPUTED_VALUE"""),"")</f>
        <v/>
      </c>
      <c r="H997" s="62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ht="15.75" customHeight="1">
      <c r="A998" s="61"/>
      <c r="B998" s="61"/>
      <c r="C998" s="61"/>
      <c r="D998" s="61"/>
      <c r="E998" s="61"/>
      <c r="F998" s="61"/>
      <c r="G998" s="61" t="str">
        <f>IFERROR(__xludf.DUMMYFUNCTION("""COMPUTED_VALUE"""),"")</f>
        <v/>
      </c>
      <c r="H998" s="62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ht="15.75" customHeight="1">
      <c r="A999" s="61"/>
      <c r="B999" s="61"/>
      <c r="C999" s="61"/>
      <c r="D999" s="61"/>
      <c r="E999" s="61"/>
      <c r="F999" s="61"/>
      <c r="G999" s="61" t="str">
        <f>IFERROR(__xludf.DUMMYFUNCTION("""COMPUTED_VALUE"""),"")</f>
        <v/>
      </c>
      <c r="H999" s="62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ht="15.75" customHeight="1">
      <c r="A1000" s="61"/>
      <c r="B1000" s="61"/>
      <c r="C1000" s="61"/>
      <c r="D1000" s="61"/>
      <c r="E1000" s="61"/>
      <c r="F1000" s="61"/>
      <c r="G1000" s="61" t="str">
        <f>IFERROR(__xludf.DUMMYFUNCTION("""COMPUTED_VALUE"""),"")</f>
        <v/>
      </c>
      <c r="H1000" s="62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  <row r="1001" ht="15.75" customHeight="1">
      <c r="A1001" s="61"/>
      <c r="B1001" s="61"/>
      <c r="C1001" s="61"/>
      <c r="D1001" s="61"/>
      <c r="E1001" s="61"/>
      <c r="F1001" s="61"/>
      <c r="G1001" s="61" t="str">
        <f>IFERROR(__xludf.DUMMYFUNCTION("""COMPUTED_VALUE"""),"")</f>
        <v/>
      </c>
      <c r="H1001" s="63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61"/>
      <c r="W1001" s="61"/>
      <c r="X1001" s="61"/>
      <c r="Y1001" s="61"/>
      <c r="Z1001" s="61"/>
    </row>
    <row r="1002" ht="15.75" customHeight="1">
      <c r="A1002" s="61"/>
      <c r="B1002" s="61"/>
      <c r="C1002" s="61"/>
      <c r="D1002" s="61"/>
      <c r="E1002" s="61"/>
      <c r="F1002" s="61"/>
      <c r="G1002" s="61" t="str">
        <f>IFERROR(__xludf.DUMMYFUNCTION("""COMPUTED_VALUE"""),"")</f>
        <v/>
      </c>
      <c r="H1002" s="63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61"/>
      <c r="W1002" s="61"/>
      <c r="X1002" s="61"/>
      <c r="Y1002" s="61"/>
      <c r="Z1002" s="61"/>
    </row>
    <row r="1003" ht="15.75" customHeight="1">
      <c r="A1003" s="61"/>
      <c r="B1003" s="61"/>
      <c r="C1003" s="61"/>
      <c r="D1003" s="61"/>
      <c r="E1003" s="61"/>
      <c r="F1003" s="61"/>
      <c r="G1003" s="61" t="str">
        <f>IFERROR(__xludf.DUMMYFUNCTION("""COMPUTED_VALUE"""),"")</f>
        <v/>
      </c>
      <c r="H1003" s="63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61"/>
      <c r="W1003" s="61"/>
      <c r="X1003" s="61"/>
      <c r="Y1003" s="61"/>
      <c r="Z1003" s="61"/>
    </row>
    <row r="1004" ht="15.75" customHeight="1">
      <c r="A1004" s="61"/>
      <c r="B1004" s="61"/>
      <c r="C1004" s="61"/>
      <c r="D1004" s="61"/>
      <c r="E1004" s="61"/>
      <c r="F1004" s="61"/>
      <c r="G1004" s="61" t="str">
        <f>IFERROR(__xludf.DUMMYFUNCTION("""COMPUTED_VALUE"""),"")</f>
        <v/>
      </c>
      <c r="H1004" s="63"/>
      <c r="I1004" s="61"/>
      <c r="J1004" s="61"/>
      <c r="K1004" s="61"/>
      <c r="L1004" s="61"/>
      <c r="M1004" s="61"/>
      <c r="N1004" s="61"/>
      <c r="O1004" s="61"/>
      <c r="P1004" s="61"/>
      <c r="Q1004" s="61"/>
      <c r="R1004" s="61"/>
      <c r="S1004" s="61"/>
      <c r="T1004" s="61"/>
      <c r="U1004" s="61"/>
      <c r="V1004" s="61"/>
      <c r="W1004" s="61"/>
      <c r="X1004" s="61"/>
      <c r="Y1004" s="61"/>
      <c r="Z1004" s="61"/>
    </row>
    <row r="1005" ht="15.75" customHeight="1">
      <c r="A1005" s="61"/>
      <c r="B1005" s="61"/>
      <c r="C1005" s="61"/>
      <c r="D1005" s="61"/>
      <c r="E1005" s="61"/>
      <c r="F1005" s="61"/>
      <c r="G1005" s="61" t="str">
        <f>IFERROR(__xludf.DUMMYFUNCTION("""COMPUTED_VALUE"""),"")</f>
        <v/>
      </c>
      <c r="H1005" s="63"/>
      <c r="I1005" s="61"/>
      <c r="J1005" s="61"/>
      <c r="K1005" s="61"/>
      <c r="L1005" s="61"/>
      <c r="M1005" s="61"/>
      <c r="N1005" s="61"/>
      <c r="O1005" s="61"/>
      <c r="P1005" s="61"/>
      <c r="Q1005" s="61"/>
      <c r="R1005" s="61"/>
      <c r="S1005" s="61"/>
      <c r="T1005" s="61"/>
      <c r="U1005" s="61"/>
      <c r="V1005" s="61"/>
      <c r="W1005" s="61"/>
      <c r="X1005" s="61"/>
      <c r="Y1005" s="61"/>
      <c r="Z1005" s="61"/>
    </row>
    <row r="1006" ht="15.75" customHeight="1">
      <c r="A1006" s="61"/>
      <c r="B1006" s="61"/>
      <c r="C1006" s="61"/>
      <c r="D1006" s="61"/>
      <c r="E1006" s="61"/>
      <c r="F1006" s="61"/>
      <c r="G1006" s="61" t="str">
        <f>IFERROR(__xludf.DUMMYFUNCTION("""COMPUTED_VALUE"""),"")</f>
        <v/>
      </c>
      <c r="H1006" s="63"/>
      <c r="I1006" s="61"/>
      <c r="J1006" s="61"/>
      <c r="K1006" s="61"/>
      <c r="L1006" s="61"/>
      <c r="M1006" s="61"/>
      <c r="N1006" s="61"/>
      <c r="O1006" s="61"/>
      <c r="P1006" s="61"/>
      <c r="Q1006" s="61"/>
      <c r="R1006" s="61"/>
      <c r="S1006" s="61"/>
      <c r="T1006" s="61"/>
      <c r="U1006" s="61"/>
      <c r="V1006" s="61"/>
      <c r="W1006" s="61"/>
      <c r="X1006" s="61"/>
      <c r="Y1006" s="61"/>
      <c r="Z1006" s="61"/>
    </row>
    <row r="1007" ht="15.75" customHeight="1">
      <c r="A1007" s="61"/>
      <c r="B1007" s="61"/>
      <c r="C1007" s="61"/>
      <c r="D1007" s="61"/>
      <c r="E1007" s="61"/>
      <c r="F1007" s="61"/>
      <c r="G1007" s="61" t="str">
        <f>IFERROR(__xludf.DUMMYFUNCTION("""COMPUTED_VALUE"""),"")</f>
        <v/>
      </c>
      <c r="H1007" s="63"/>
      <c r="I1007" s="61"/>
      <c r="J1007" s="61"/>
      <c r="K1007" s="61"/>
      <c r="L1007" s="61"/>
      <c r="M1007" s="61"/>
      <c r="N1007" s="61"/>
      <c r="O1007" s="61"/>
      <c r="P1007" s="61"/>
      <c r="Q1007" s="61"/>
      <c r="R1007" s="61"/>
      <c r="S1007" s="61"/>
      <c r="T1007" s="61"/>
      <c r="U1007" s="61"/>
      <c r="V1007" s="61"/>
      <c r="W1007" s="61"/>
      <c r="X1007" s="61"/>
      <c r="Y1007" s="61"/>
      <c r="Z1007" s="61"/>
    </row>
    <row r="1008" ht="15.75" customHeight="1">
      <c r="A1008" s="61"/>
      <c r="B1008" s="61"/>
      <c r="C1008" s="61"/>
      <c r="D1008" s="61"/>
      <c r="E1008" s="61"/>
      <c r="F1008" s="61"/>
      <c r="G1008" s="61" t="str">
        <f>IFERROR(__xludf.DUMMYFUNCTION("""COMPUTED_VALUE"""),"")</f>
        <v/>
      </c>
      <c r="H1008" s="63"/>
      <c r="I1008" s="61"/>
      <c r="J1008" s="61"/>
      <c r="K1008" s="61"/>
      <c r="L1008" s="61"/>
      <c r="M1008" s="61"/>
      <c r="N1008" s="61"/>
      <c r="O1008" s="61"/>
      <c r="P1008" s="61"/>
      <c r="Q1008" s="61"/>
      <c r="R1008" s="61"/>
      <c r="S1008" s="61"/>
      <c r="T1008" s="61"/>
      <c r="U1008" s="61"/>
      <c r="V1008" s="61"/>
      <c r="W1008" s="61"/>
      <c r="X1008" s="61"/>
      <c r="Y1008" s="61"/>
      <c r="Z1008" s="61"/>
    </row>
    <row r="1009" ht="15.75" customHeight="1">
      <c r="A1009" s="61"/>
      <c r="B1009" s="61"/>
      <c r="C1009" s="61"/>
      <c r="D1009" s="61"/>
      <c r="E1009" s="61"/>
      <c r="F1009" s="61"/>
      <c r="G1009" s="61" t="str">
        <f>IFERROR(__xludf.DUMMYFUNCTION("""COMPUTED_VALUE"""),"")</f>
        <v/>
      </c>
      <c r="H1009" s="63"/>
      <c r="I1009" s="61"/>
      <c r="J1009" s="61"/>
      <c r="K1009" s="61"/>
      <c r="L1009" s="61"/>
      <c r="M1009" s="61"/>
      <c r="N1009" s="61"/>
      <c r="O1009" s="61"/>
      <c r="P1009" s="61"/>
      <c r="Q1009" s="61"/>
      <c r="R1009" s="61"/>
      <c r="S1009" s="61"/>
      <c r="T1009" s="61"/>
      <c r="U1009" s="61"/>
      <c r="V1009" s="61"/>
      <c r="W1009" s="61"/>
      <c r="X1009" s="61"/>
      <c r="Y1009" s="61"/>
      <c r="Z1009" s="61"/>
    </row>
    <row r="1010" ht="15.75" customHeight="1">
      <c r="A1010" s="61"/>
      <c r="B1010" s="61"/>
      <c r="C1010" s="61"/>
      <c r="D1010" s="61"/>
      <c r="E1010" s="61"/>
      <c r="F1010" s="61"/>
      <c r="G1010" s="61" t="str">
        <f>IFERROR(__xludf.DUMMYFUNCTION("""COMPUTED_VALUE"""),"")</f>
        <v/>
      </c>
      <c r="H1010" s="63"/>
      <c r="I1010" s="61"/>
      <c r="J1010" s="61"/>
      <c r="K1010" s="61"/>
      <c r="L1010" s="61"/>
      <c r="M1010" s="61"/>
      <c r="N1010" s="61"/>
      <c r="O1010" s="61"/>
      <c r="P1010" s="61"/>
      <c r="Q1010" s="61"/>
      <c r="R1010" s="61"/>
      <c r="S1010" s="61"/>
      <c r="T1010" s="61"/>
      <c r="U1010" s="61"/>
      <c r="V1010" s="61"/>
      <c r="W1010" s="61"/>
      <c r="X1010" s="61"/>
      <c r="Y1010" s="61"/>
      <c r="Z1010" s="61"/>
    </row>
    <row r="1011" ht="15.75" customHeight="1">
      <c r="A1011" s="61"/>
      <c r="B1011" s="61"/>
      <c r="C1011" s="61"/>
      <c r="D1011" s="61"/>
      <c r="E1011" s="61"/>
      <c r="F1011" s="61"/>
      <c r="G1011" s="61" t="str">
        <f>IFERROR(__xludf.DUMMYFUNCTION("""COMPUTED_VALUE"""),"")</f>
        <v/>
      </c>
      <c r="H1011" s="63"/>
      <c r="I1011" s="61"/>
      <c r="J1011" s="61"/>
      <c r="K1011" s="61"/>
      <c r="L1011" s="61"/>
      <c r="M1011" s="61"/>
      <c r="N1011" s="61"/>
      <c r="O1011" s="61"/>
      <c r="P1011" s="61"/>
      <c r="Q1011" s="61"/>
      <c r="R1011" s="61"/>
      <c r="S1011" s="61"/>
      <c r="T1011" s="61"/>
      <c r="U1011" s="61"/>
      <c r="V1011" s="61"/>
      <c r="W1011" s="61"/>
      <c r="X1011" s="61"/>
      <c r="Y1011" s="61"/>
      <c r="Z1011" s="61"/>
    </row>
    <row r="1012" ht="15.75" customHeight="1">
      <c r="A1012" s="61"/>
      <c r="B1012" s="61"/>
      <c r="C1012" s="61"/>
      <c r="D1012" s="61"/>
      <c r="E1012" s="61"/>
      <c r="F1012" s="61"/>
      <c r="G1012" s="61" t="str">
        <f>IFERROR(__xludf.DUMMYFUNCTION("""COMPUTED_VALUE"""),"")</f>
        <v/>
      </c>
      <c r="H1012" s="63"/>
      <c r="I1012" s="61"/>
      <c r="J1012" s="61"/>
      <c r="K1012" s="61"/>
      <c r="L1012" s="61"/>
      <c r="M1012" s="61"/>
      <c r="N1012" s="61"/>
      <c r="O1012" s="61"/>
      <c r="P1012" s="61"/>
      <c r="Q1012" s="61"/>
      <c r="R1012" s="61"/>
      <c r="S1012" s="61"/>
      <c r="T1012" s="61"/>
      <c r="U1012" s="61"/>
      <c r="V1012" s="61"/>
      <c r="W1012" s="61"/>
      <c r="X1012" s="61"/>
      <c r="Y1012" s="61"/>
      <c r="Z1012" s="61"/>
    </row>
    <row r="1013" ht="15.75" customHeight="1">
      <c r="A1013" s="61"/>
      <c r="B1013" s="61"/>
      <c r="C1013" s="61"/>
      <c r="D1013" s="61"/>
      <c r="E1013" s="61"/>
      <c r="F1013" s="61"/>
      <c r="G1013" s="61" t="str">
        <f>IFERROR(__xludf.DUMMYFUNCTION("""COMPUTED_VALUE"""),"")</f>
        <v/>
      </c>
      <c r="H1013" s="63"/>
      <c r="I1013" s="61"/>
      <c r="J1013" s="61"/>
      <c r="K1013" s="61"/>
      <c r="L1013" s="61"/>
      <c r="M1013" s="61"/>
      <c r="N1013" s="61"/>
      <c r="O1013" s="61"/>
      <c r="P1013" s="61"/>
      <c r="Q1013" s="61"/>
      <c r="R1013" s="61"/>
      <c r="S1013" s="61"/>
      <c r="T1013" s="61"/>
      <c r="U1013" s="61"/>
      <c r="V1013" s="61"/>
      <c r="W1013" s="61"/>
      <c r="X1013" s="61"/>
      <c r="Y1013" s="61"/>
      <c r="Z1013" s="61"/>
    </row>
    <row r="1014" ht="15.75" customHeight="1">
      <c r="A1014" s="61"/>
      <c r="B1014" s="61"/>
      <c r="C1014" s="61"/>
      <c r="D1014" s="61"/>
      <c r="E1014" s="61"/>
      <c r="F1014" s="61"/>
      <c r="G1014" s="61" t="str">
        <f>IFERROR(__xludf.DUMMYFUNCTION("""COMPUTED_VALUE"""),"")</f>
        <v/>
      </c>
      <c r="H1014" s="63"/>
      <c r="I1014" s="61"/>
      <c r="J1014" s="61"/>
      <c r="K1014" s="61"/>
      <c r="L1014" s="61"/>
      <c r="M1014" s="61"/>
      <c r="N1014" s="61"/>
      <c r="O1014" s="61"/>
      <c r="P1014" s="61"/>
      <c r="Q1014" s="61"/>
      <c r="R1014" s="61"/>
      <c r="S1014" s="61"/>
      <c r="T1014" s="61"/>
      <c r="U1014" s="61"/>
      <c r="V1014" s="61"/>
      <c r="W1014" s="61"/>
      <c r="X1014" s="61"/>
      <c r="Y1014" s="61"/>
      <c r="Z1014" s="61"/>
    </row>
    <row r="1015" ht="15.75" customHeight="1">
      <c r="A1015" s="61"/>
      <c r="B1015" s="61"/>
      <c r="C1015" s="61"/>
      <c r="D1015" s="61"/>
      <c r="E1015" s="61"/>
      <c r="F1015" s="61"/>
      <c r="G1015" s="61" t="str">
        <f>IFERROR(__xludf.DUMMYFUNCTION("""COMPUTED_VALUE"""),"")</f>
        <v/>
      </c>
      <c r="H1015" s="63"/>
      <c r="I1015" s="61"/>
      <c r="J1015" s="61"/>
      <c r="K1015" s="61"/>
      <c r="L1015" s="61"/>
      <c r="M1015" s="61"/>
      <c r="N1015" s="61"/>
      <c r="O1015" s="61"/>
      <c r="P1015" s="61"/>
      <c r="Q1015" s="61"/>
      <c r="R1015" s="61"/>
      <c r="S1015" s="61"/>
      <c r="T1015" s="61"/>
      <c r="U1015" s="61"/>
      <c r="V1015" s="61"/>
      <c r="W1015" s="61"/>
      <c r="X1015" s="61"/>
      <c r="Y1015" s="61"/>
      <c r="Z1015" s="61"/>
    </row>
    <row r="1016" ht="15.75" customHeight="1">
      <c r="A1016" s="61"/>
      <c r="B1016" s="61"/>
      <c r="C1016" s="61"/>
      <c r="D1016" s="61"/>
      <c r="E1016" s="61"/>
      <c r="F1016" s="61"/>
      <c r="G1016" s="61" t="str">
        <f>IFERROR(__xludf.DUMMYFUNCTION("""COMPUTED_VALUE"""),"")</f>
        <v/>
      </c>
      <c r="H1016" s="63"/>
      <c r="I1016" s="61"/>
      <c r="J1016" s="61"/>
      <c r="K1016" s="61"/>
      <c r="L1016" s="61"/>
      <c r="M1016" s="61"/>
      <c r="N1016" s="61"/>
      <c r="O1016" s="61"/>
      <c r="P1016" s="61"/>
      <c r="Q1016" s="61"/>
      <c r="R1016" s="61"/>
      <c r="S1016" s="61"/>
      <c r="T1016" s="61"/>
      <c r="U1016" s="61"/>
      <c r="V1016" s="61"/>
      <c r="W1016" s="61"/>
      <c r="X1016" s="61"/>
      <c r="Y1016" s="61"/>
      <c r="Z1016" s="61"/>
    </row>
    <row r="1017" ht="15.75" customHeight="1">
      <c r="A1017" s="61"/>
      <c r="B1017" s="61"/>
      <c r="C1017" s="61"/>
      <c r="D1017" s="61"/>
      <c r="E1017" s="61"/>
      <c r="F1017" s="61"/>
      <c r="G1017" s="61" t="str">
        <f>IFERROR(__xludf.DUMMYFUNCTION("""COMPUTED_VALUE"""),"")</f>
        <v/>
      </c>
      <c r="H1017" s="63"/>
      <c r="I1017" s="61"/>
      <c r="J1017" s="61"/>
      <c r="K1017" s="61"/>
      <c r="L1017" s="61"/>
      <c r="M1017" s="61"/>
      <c r="N1017" s="61"/>
      <c r="O1017" s="61"/>
      <c r="P1017" s="61"/>
      <c r="Q1017" s="61"/>
      <c r="R1017" s="61"/>
      <c r="S1017" s="61"/>
      <c r="T1017" s="61"/>
      <c r="U1017" s="61"/>
      <c r="V1017" s="61"/>
      <c r="W1017" s="61"/>
      <c r="X1017" s="61"/>
      <c r="Y1017" s="61"/>
      <c r="Z1017" s="61"/>
    </row>
    <row r="1018" ht="15.75" customHeight="1">
      <c r="A1018" s="61"/>
      <c r="B1018" s="61"/>
      <c r="C1018" s="61"/>
      <c r="D1018" s="61"/>
      <c r="E1018" s="61"/>
      <c r="F1018" s="61"/>
      <c r="G1018" s="61" t="str">
        <f>IFERROR(__xludf.DUMMYFUNCTION("""COMPUTED_VALUE"""),"")</f>
        <v/>
      </c>
      <c r="H1018" s="63"/>
      <c r="I1018" s="61"/>
      <c r="J1018" s="61"/>
      <c r="K1018" s="61"/>
      <c r="L1018" s="61"/>
      <c r="M1018" s="61"/>
      <c r="N1018" s="61"/>
      <c r="O1018" s="61"/>
      <c r="P1018" s="61"/>
      <c r="Q1018" s="61"/>
      <c r="R1018" s="61"/>
      <c r="S1018" s="61"/>
      <c r="T1018" s="61"/>
      <c r="U1018" s="61"/>
      <c r="V1018" s="61"/>
      <c r="W1018" s="61"/>
      <c r="X1018" s="61"/>
      <c r="Y1018" s="61"/>
      <c r="Z1018" s="61"/>
    </row>
    <row r="1019" ht="15.75" customHeight="1">
      <c r="A1019" s="61"/>
      <c r="B1019" s="61"/>
      <c r="C1019" s="61"/>
      <c r="D1019" s="61"/>
      <c r="E1019" s="61"/>
      <c r="F1019" s="61"/>
      <c r="G1019" s="61" t="str">
        <f>IFERROR(__xludf.DUMMYFUNCTION("""COMPUTED_VALUE"""),"")</f>
        <v/>
      </c>
      <c r="H1019" s="63"/>
      <c r="I1019" s="61"/>
      <c r="J1019" s="61"/>
      <c r="K1019" s="61"/>
      <c r="L1019" s="61"/>
      <c r="M1019" s="61"/>
      <c r="N1019" s="61"/>
      <c r="O1019" s="61"/>
      <c r="P1019" s="61"/>
      <c r="Q1019" s="61"/>
      <c r="R1019" s="61"/>
      <c r="S1019" s="61"/>
      <c r="T1019" s="61"/>
      <c r="U1019" s="61"/>
      <c r="V1019" s="61"/>
      <c r="W1019" s="61"/>
      <c r="X1019" s="61"/>
      <c r="Y1019" s="61"/>
      <c r="Z1019" s="61"/>
    </row>
    <row r="1020" ht="15.75" customHeight="1">
      <c r="A1020" s="61"/>
      <c r="B1020" s="61"/>
      <c r="C1020" s="61"/>
      <c r="D1020" s="61"/>
      <c r="E1020" s="61"/>
      <c r="F1020" s="61"/>
      <c r="G1020" s="61" t="str">
        <f>IFERROR(__xludf.DUMMYFUNCTION("""COMPUTED_VALUE"""),"")</f>
        <v/>
      </c>
      <c r="H1020" s="63"/>
      <c r="I1020" s="61"/>
      <c r="J1020" s="61"/>
      <c r="K1020" s="61"/>
      <c r="L1020" s="61"/>
      <c r="M1020" s="61"/>
      <c r="N1020" s="61"/>
      <c r="O1020" s="61"/>
      <c r="P1020" s="61"/>
      <c r="Q1020" s="61"/>
      <c r="R1020" s="61"/>
      <c r="S1020" s="61"/>
      <c r="T1020" s="61"/>
      <c r="U1020" s="61"/>
      <c r="V1020" s="61"/>
      <c r="W1020" s="61"/>
      <c r="X1020" s="61"/>
      <c r="Y1020" s="61"/>
      <c r="Z1020" s="61"/>
    </row>
    <row r="1021" ht="15.75" customHeight="1">
      <c r="A1021" s="61"/>
      <c r="B1021" s="61"/>
      <c r="C1021" s="61"/>
      <c r="D1021" s="61"/>
      <c r="E1021" s="61"/>
      <c r="F1021" s="61"/>
      <c r="G1021" s="61" t="str">
        <f>IFERROR(__xludf.DUMMYFUNCTION("""COMPUTED_VALUE"""),"")</f>
        <v/>
      </c>
      <c r="H1021" s="63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1"/>
      <c r="V1021" s="61"/>
      <c r="W1021" s="61"/>
      <c r="X1021" s="61"/>
      <c r="Y1021" s="61"/>
      <c r="Z1021" s="61"/>
    </row>
    <row r="1022" ht="15.75" customHeight="1">
      <c r="A1022" s="61"/>
      <c r="B1022" s="61"/>
      <c r="C1022" s="61"/>
      <c r="D1022" s="61"/>
      <c r="E1022" s="61"/>
      <c r="F1022" s="61"/>
      <c r="G1022" s="61" t="str">
        <f>IFERROR(__xludf.DUMMYFUNCTION("""COMPUTED_VALUE"""),"")</f>
        <v/>
      </c>
      <c r="H1022" s="63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1"/>
      <c r="V1022" s="61"/>
      <c r="W1022" s="61"/>
      <c r="X1022" s="61"/>
      <c r="Y1022" s="61"/>
      <c r="Z1022" s="61"/>
    </row>
    <row r="1023" ht="15.75" customHeight="1">
      <c r="A1023" s="61"/>
      <c r="B1023" s="61"/>
      <c r="C1023" s="61"/>
      <c r="D1023" s="61"/>
      <c r="E1023" s="61"/>
      <c r="F1023" s="61"/>
      <c r="G1023" s="61" t="str">
        <f>IFERROR(__xludf.DUMMYFUNCTION("""COMPUTED_VALUE"""),"")</f>
        <v/>
      </c>
      <c r="H1023" s="63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1"/>
      <c r="V1023" s="61"/>
      <c r="W1023" s="61"/>
      <c r="X1023" s="61"/>
      <c r="Y1023" s="61"/>
      <c r="Z1023" s="61"/>
    </row>
    <row r="1024" ht="15.75" customHeight="1">
      <c r="A1024" s="61"/>
      <c r="B1024" s="61"/>
      <c r="C1024" s="61"/>
      <c r="D1024" s="61"/>
      <c r="E1024" s="61"/>
      <c r="F1024" s="61"/>
      <c r="G1024" s="61" t="str">
        <f>IFERROR(__xludf.DUMMYFUNCTION("""COMPUTED_VALUE"""),"")</f>
        <v/>
      </c>
      <c r="H1024" s="63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1"/>
      <c r="V1024" s="61"/>
      <c r="W1024" s="61"/>
      <c r="X1024" s="61"/>
      <c r="Y1024" s="61"/>
      <c r="Z1024" s="61"/>
    </row>
    <row r="1025" ht="15.75" customHeight="1">
      <c r="A1025" s="61"/>
      <c r="B1025" s="61"/>
      <c r="C1025" s="61"/>
      <c r="D1025" s="61"/>
      <c r="E1025" s="61"/>
      <c r="F1025" s="61"/>
      <c r="G1025" s="61" t="str">
        <f>IFERROR(__xludf.DUMMYFUNCTION("""COMPUTED_VALUE"""),"")</f>
        <v/>
      </c>
      <c r="H1025" s="63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1"/>
      <c r="V1025" s="61"/>
      <c r="W1025" s="61"/>
      <c r="X1025" s="61"/>
      <c r="Y1025" s="61"/>
      <c r="Z1025" s="61"/>
    </row>
    <row r="1026" ht="15.75" customHeight="1">
      <c r="A1026" s="61"/>
      <c r="B1026" s="61"/>
      <c r="C1026" s="61"/>
      <c r="D1026" s="61"/>
      <c r="E1026" s="61"/>
      <c r="F1026" s="61"/>
      <c r="G1026" s="61" t="str">
        <f>IFERROR(__xludf.DUMMYFUNCTION("""COMPUTED_VALUE"""),"")</f>
        <v/>
      </c>
      <c r="H1026" s="63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1"/>
      <c r="V1026" s="61"/>
      <c r="W1026" s="61"/>
      <c r="X1026" s="61"/>
      <c r="Y1026" s="61"/>
      <c r="Z1026" s="61"/>
    </row>
    <row r="1027" ht="15.75" customHeight="1">
      <c r="A1027" s="61"/>
      <c r="B1027" s="61"/>
      <c r="C1027" s="61"/>
      <c r="D1027" s="61"/>
      <c r="E1027" s="61"/>
      <c r="F1027" s="61"/>
      <c r="G1027" s="61" t="str">
        <f>IFERROR(__xludf.DUMMYFUNCTION("""COMPUTED_VALUE"""),"")</f>
        <v/>
      </c>
      <c r="H1027" s="63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1"/>
      <c r="V1027" s="61"/>
      <c r="W1027" s="61"/>
      <c r="X1027" s="61"/>
      <c r="Y1027" s="61"/>
      <c r="Z1027" s="61"/>
    </row>
    <row r="1028" ht="15.75" customHeight="1">
      <c r="A1028" s="61"/>
      <c r="B1028" s="61"/>
      <c r="C1028" s="61"/>
      <c r="D1028" s="61"/>
      <c r="E1028" s="61"/>
      <c r="F1028" s="61"/>
      <c r="G1028" s="61" t="str">
        <f>IFERROR(__xludf.DUMMYFUNCTION("""COMPUTED_VALUE"""),"")</f>
        <v/>
      </c>
      <c r="H1028" s="63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1"/>
      <c r="V1028" s="61"/>
      <c r="W1028" s="61"/>
      <c r="X1028" s="61"/>
      <c r="Y1028" s="61"/>
      <c r="Z1028" s="61"/>
    </row>
    <row r="1029" ht="15.75" customHeight="1">
      <c r="A1029" s="61"/>
      <c r="B1029" s="61"/>
      <c r="C1029" s="61"/>
      <c r="D1029" s="61"/>
      <c r="E1029" s="61"/>
      <c r="F1029" s="61"/>
      <c r="G1029" s="61" t="str">
        <f>IFERROR(__xludf.DUMMYFUNCTION("""COMPUTED_VALUE"""),"")</f>
        <v/>
      </c>
      <c r="H1029" s="63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1"/>
      <c r="V1029" s="61"/>
      <c r="W1029" s="61"/>
      <c r="X1029" s="61"/>
      <c r="Y1029" s="61"/>
      <c r="Z1029" s="61"/>
    </row>
    <row r="1030" ht="15.75" customHeight="1">
      <c r="A1030" s="61"/>
      <c r="B1030" s="61"/>
      <c r="C1030" s="61"/>
      <c r="D1030" s="61"/>
      <c r="E1030" s="61"/>
      <c r="F1030" s="61"/>
      <c r="G1030" s="61" t="str">
        <f>IFERROR(__xludf.DUMMYFUNCTION("""COMPUTED_VALUE"""),"")</f>
        <v/>
      </c>
      <c r="H1030" s="63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1"/>
      <c r="V1030" s="61"/>
      <c r="W1030" s="61"/>
      <c r="X1030" s="61"/>
      <c r="Y1030" s="61"/>
      <c r="Z1030" s="61"/>
    </row>
    <row r="1031" ht="15.75" customHeight="1">
      <c r="A1031" s="61"/>
      <c r="B1031" s="61"/>
      <c r="C1031" s="61"/>
      <c r="D1031" s="61"/>
      <c r="E1031" s="61"/>
      <c r="F1031" s="61"/>
      <c r="G1031" s="61" t="str">
        <f>IFERROR(__xludf.DUMMYFUNCTION("""COMPUTED_VALUE"""),"")</f>
        <v/>
      </c>
      <c r="H1031" s="63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1"/>
      <c r="V1031" s="61"/>
      <c r="W1031" s="61"/>
      <c r="X1031" s="61"/>
      <c r="Y1031" s="61"/>
      <c r="Z1031" s="61"/>
    </row>
    <row r="1032" ht="15.75" customHeight="1">
      <c r="A1032" s="61"/>
      <c r="B1032" s="61"/>
      <c r="C1032" s="61"/>
      <c r="D1032" s="61"/>
      <c r="E1032" s="61"/>
      <c r="F1032" s="61"/>
      <c r="G1032" s="61" t="str">
        <f>IFERROR(__xludf.DUMMYFUNCTION("""COMPUTED_VALUE"""),"")</f>
        <v/>
      </c>
      <c r="H1032" s="63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1"/>
      <c r="V1032" s="61"/>
      <c r="W1032" s="61"/>
      <c r="X1032" s="61"/>
      <c r="Y1032" s="61"/>
      <c r="Z1032" s="61"/>
    </row>
    <row r="1033" ht="15.75" customHeight="1">
      <c r="A1033" s="61"/>
      <c r="B1033" s="61"/>
      <c r="C1033" s="61"/>
      <c r="D1033" s="61"/>
      <c r="E1033" s="61"/>
      <c r="F1033" s="61"/>
      <c r="G1033" s="61" t="str">
        <f>IFERROR(__xludf.DUMMYFUNCTION("""COMPUTED_VALUE"""),"")</f>
        <v/>
      </c>
      <c r="H1033" s="63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1"/>
      <c r="V1033" s="61"/>
      <c r="W1033" s="61"/>
      <c r="X1033" s="61"/>
      <c r="Y1033" s="61"/>
      <c r="Z1033" s="61"/>
    </row>
    <row r="1034" ht="15.75" customHeight="1">
      <c r="A1034" s="61"/>
      <c r="B1034" s="61"/>
      <c r="C1034" s="61"/>
      <c r="D1034" s="61"/>
      <c r="E1034" s="61"/>
      <c r="F1034" s="61"/>
      <c r="G1034" s="61" t="str">
        <f>IFERROR(__xludf.DUMMYFUNCTION("""COMPUTED_VALUE"""),"")</f>
        <v/>
      </c>
      <c r="H1034" s="63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1"/>
      <c r="V1034" s="61"/>
      <c r="W1034" s="61"/>
      <c r="X1034" s="61"/>
      <c r="Y1034" s="61"/>
      <c r="Z1034" s="61"/>
    </row>
    <row r="1035" ht="15.75" customHeight="1">
      <c r="A1035" s="61"/>
      <c r="B1035" s="61"/>
      <c r="C1035" s="61"/>
      <c r="D1035" s="61"/>
      <c r="E1035" s="61"/>
      <c r="F1035" s="61"/>
      <c r="G1035" s="61" t="str">
        <f>IFERROR(__xludf.DUMMYFUNCTION("""COMPUTED_VALUE"""),"")</f>
        <v/>
      </c>
      <c r="H1035" s="63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1"/>
      <c r="V1035" s="61"/>
      <c r="W1035" s="61"/>
      <c r="X1035" s="61"/>
      <c r="Y1035" s="61"/>
      <c r="Z1035" s="61"/>
    </row>
    <row r="1036" ht="15.75" customHeight="1">
      <c r="A1036" s="61"/>
      <c r="B1036" s="61"/>
      <c r="C1036" s="61"/>
      <c r="D1036" s="61"/>
      <c r="E1036" s="61"/>
      <c r="F1036" s="61"/>
      <c r="G1036" s="61" t="str">
        <f>IFERROR(__xludf.DUMMYFUNCTION("""COMPUTED_VALUE"""),"")</f>
        <v/>
      </c>
      <c r="H1036" s="63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1"/>
      <c r="V1036" s="61"/>
      <c r="W1036" s="61"/>
      <c r="X1036" s="61"/>
      <c r="Y1036" s="61"/>
      <c r="Z1036" s="61"/>
    </row>
    <row r="1037" ht="15.75" customHeight="1">
      <c r="A1037" s="61"/>
      <c r="B1037" s="61"/>
      <c r="C1037" s="61"/>
      <c r="D1037" s="61"/>
      <c r="E1037" s="61"/>
      <c r="F1037" s="61"/>
      <c r="G1037" s="61" t="str">
        <f>IFERROR(__xludf.DUMMYFUNCTION("""COMPUTED_VALUE"""),"")</f>
        <v/>
      </c>
      <c r="H1037" s="63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1"/>
      <c r="V1037" s="61"/>
      <c r="W1037" s="61"/>
      <c r="X1037" s="61"/>
      <c r="Y1037" s="61"/>
      <c r="Z1037" s="61"/>
    </row>
    <row r="1038" ht="15.75" customHeight="1">
      <c r="A1038" s="61"/>
      <c r="B1038" s="61"/>
      <c r="C1038" s="61"/>
      <c r="D1038" s="61"/>
      <c r="E1038" s="61"/>
      <c r="F1038" s="61"/>
      <c r="G1038" s="61" t="str">
        <f>IFERROR(__xludf.DUMMYFUNCTION("""COMPUTED_VALUE"""),"")</f>
        <v/>
      </c>
      <c r="H1038" s="63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1"/>
      <c r="V1038" s="61"/>
      <c r="W1038" s="61"/>
      <c r="X1038" s="61"/>
      <c r="Y1038" s="61"/>
      <c r="Z1038" s="61"/>
    </row>
    <row r="1039" ht="15.75" customHeight="1">
      <c r="A1039" s="61"/>
      <c r="B1039" s="61"/>
      <c r="C1039" s="61"/>
      <c r="D1039" s="61"/>
      <c r="E1039" s="61"/>
      <c r="F1039" s="61"/>
      <c r="G1039" s="61" t="str">
        <f>IFERROR(__xludf.DUMMYFUNCTION("""COMPUTED_VALUE"""),"")</f>
        <v/>
      </c>
      <c r="H1039" s="63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1"/>
      <c r="V1039" s="61"/>
      <c r="W1039" s="61"/>
      <c r="X1039" s="61"/>
      <c r="Y1039" s="61"/>
      <c r="Z1039" s="61"/>
    </row>
    <row r="1040" ht="15.75" customHeight="1">
      <c r="A1040" s="61"/>
      <c r="B1040" s="61"/>
      <c r="C1040" s="61"/>
      <c r="D1040" s="61"/>
      <c r="E1040" s="61"/>
      <c r="F1040" s="61"/>
      <c r="G1040" s="61" t="str">
        <f>IFERROR(__xludf.DUMMYFUNCTION("""COMPUTED_VALUE"""),"")</f>
        <v/>
      </c>
      <c r="H1040" s="63"/>
      <c r="I1040" s="61"/>
      <c r="J1040" s="61"/>
      <c r="K1040" s="61"/>
      <c r="L1040" s="61"/>
      <c r="M1040" s="61"/>
      <c r="N1040" s="61"/>
      <c r="O1040" s="61"/>
      <c r="P1040" s="61"/>
      <c r="Q1040" s="61"/>
      <c r="R1040" s="61"/>
      <c r="S1040" s="61"/>
      <c r="T1040" s="61"/>
      <c r="U1040" s="61"/>
      <c r="V1040" s="61"/>
      <c r="W1040" s="61"/>
      <c r="X1040" s="61"/>
      <c r="Y1040" s="61"/>
      <c r="Z1040" s="61"/>
    </row>
    <row r="1041" ht="15.75" customHeight="1">
      <c r="A1041" s="61"/>
      <c r="B1041" s="61"/>
      <c r="C1041" s="61"/>
      <c r="D1041" s="61"/>
      <c r="E1041" s="61"/>
      <c r="F1041" s="61"/>
      <c r="G1041" s="61" t="str">
        <f>IFERROR(__xludf.DUMMYFUNCTION("""COMPUTED_VALUE"""),"")</f>
        <v/>
      </c>
      <c r="H1041" s="63"/>
      <c r="I1041" s="61"/>
      <c r="J1041" s="61"/>
      <c r="K1041" s="61"/>
      <c r="L1041" s="61"/>
      <c r="M1041" s="61"/>
      <c r="N1041" s="61"/>
      <c r="O1041" s="61"/>
      <c r="P1041" s="61"/>
      <c r="Q1041" s="61"/>
      <c r="R1041" s="61"/>
      <c r="S1041" s="61"/>
      <c r="T1041" s="61"/>
      <c r="U1041" s="61"/>
      <c r="V1041" s="61"/>
      <c r="W1041" s="61"/>
      <c r="X1041" s="61"/>
      <c r="Y1041" s="61"/>
      <c r="Z1041" s="61"/>
    </row>
    <row r="1042" ht="15.75" customHeight="1">
      <c r="A1042" s="61"/>
      <c r="B1042" s="61"/>
      <c r="C1042" s="61"/>
      <c r="D1042" s="61"/>
      <c r="E1042" s="61"/>
      <c r="F1042" s="61"/>
      <c r="G1042" s="61" t="str">
        <f>IFERROR(__xludf.DUMMYFUNCTION("""COMPUTED_VALUE"""),"")</f>
        <v/>
      </c>
      <c r="H1042" s="63"/>
      <c r="I1042" s="61"/>
      <c r="J1042" s="61"/>
      <c r="K1042" s="61"/>
      <c r="L1042" s="61"/>
      <c r="M1042" s="61"/>
      <c r="N1042" s="61"/>
      <c r="O1042" s="61"/>
      <c r="P1042" s="61"/>
      <c r="Q1042" s="61"/>
      <c r="R1042" s="61"/>
      <c r="S1042" s="61"/>
      <c r="T1042" s="61"/>
      <c r="U1042" s="61"/>
      <c r="V1042" s="61"/>
      <c r="W1042" s="61"/>
      <c r="X1042" s="61"/>
      <c r="Y1042" s="61"/>
      <c r="Z1042" s="61"/>
    </row>
    <row r="1043" ht="15.75" customHeight="1">
      <c r="A1043" s="61"/>
      <c r="B1043" s="61"/>
      <c r="C1043" s="61"/>
      <c r="D1043" s="61"/>
      <c r="E1043" s="61"/>
      <c r="F1043" s="61"/>
      <c r="G1043" s="61" t="str">
        <f>IFERROR(__xludf.DUMMYFUNCTION("""COMPUTED_VALUE"""),"")</f>
        <v/>
      </c>
      <c r="H1043" s="63"/>
      <c r="I1043" s="61"/>
      <c r="J1043" s="61"/>
      <c r="K1043" s="61"/>
      <c r="L1043" s="61"/>
      <c r="M1043" s="61"/>
      <c r="N1043" s="61"/>
      <c r="O1043" s="61"/>
      <c r="P1043" s="61"/>
      <c r="Q1043" s="61"/>
      <c r="R1043" s="61"/>
      <c r="S1043" s="61"/>
      <c r="T1043" s="61"/>
      <c r="U1043" s="61"/>
      <c r="V1043" s="61"/>
      <c r="W1043" s="61"/>
      <c r="X1043" s="61"/>
      <c r="Y1043" s="61"/>
      <c r="Z1043" s="61"/>
    </row>
    <row r="1044" ht="15.75" customHeight="1">
      <c r="A1044" s="61"/>
      <c r="B1044" s="61"/>
      <c r="C1044" s="61"/>
      <c r="D1044" s="61"/>
      <c r="E1044" s="61"/>
      <c r="F1044" s="61"/>
      <c r="G1044" s="61" t="str">
        <f>IFERROR(__xludf.DUMMYFUNCTION("""COMPUTED_VALUE"""),"")</f>
        <v/>
      </c>
      <c r="H1044" s="63"/>
      <c r="I1044" s="61"/>
      <c r="J1044" s="61"/>
      <c r="K1044" s="61"/>
      <c r="L1044" s="61"/>
      <c r="M1044" s="61"/>
      <c r="N1044" s="61"/>
      <c r="O1044" s="61"/>
      <c r="P1044" s="61"/>
      <c r="Q1044" s="61"/>
      <c r="R1044" s="61"/>
      <c r="S1044" s="61"/>
      <c r="T1044" s="61"/>
      <c r="U1044" s="61"/>
      <c r="V1044" s="61"/>
      <c r="W1044" s="61"/>
      <c r="X1044" s="61"/>
      <c r="Y1044" s="61"/>
      <c r="Z1044" s="61"/>
    </row>
    <row r="1045" ht="15.75" customHeight="1">
      <c r="A1045" s="61"/>
      <c r="B1045" s="61"/>
      <c r="C1045" s="61"/>
      <c r="D1045" s="61"/>
      <c r="E1045" s="61"/>
      <c r="F1045" s="61"/>
      <c r="G1045" s="61" t="str">
        <f>IFERROR(__xludf.DUMMYFUNCTION("""COMPUTED_VALUE"""),"")</f>
        <v/>
      </c>
      <c r="H1045" s="63"/>
      <c r="I1045" s="61"/>
      <c r="J1045" s="61"/>
      <c r="K1045" s="61"/>
      <c r="L1045" s="61"/>
      <c r="M1045" s="61"/>
      <c r="N1045" s="61"/>
      <c r="O1045" s="61"/>
      <c r="P1045" s="61"/>
      <c r="Q1045" s="61"/>
      <c r="R1045" s="61"/>
      <c r="S1045" s="61"/>
      <c r="T1045" s="61"/>
      <c r="U1045" s="61"/>
      <c r="V1045" s="61"/>
      <c r="W1045" s="61"/>
      <c r="X1045" s="61"/>
      <c r="Y1045" s="61"/>
      <c r="Z1045" s="61"/>
    </row>
    <row r="1046" ht="15.75" customHeight="1">
      <c r="A1046" s="61"/>
      <c r="B1046" s="61"/>
      <c r="C1046" s="61"/>
      <c r="D1046" s="61"/>
      <c r="E1046" s="61"/>
      <c r="F1046" s="61"/>
      <c r="G1046" s="61" t="str">
        <f>IFERROR(__xludf.DUMMYFUNCTION("""COMPUTED_VALUE"""),"")</f>
        <v/>
      </c>
      <c r="H1046" s="63"/>
      <c r="I1046" s="61"/>
      <c r="J1046" s="61"/>
      <c r="K1046" s="61"/>
      <c r="L1046" s="61"/>
      <c r="M1046" s="61"/>
      <c r="N1046" s="61"/>
      <c r="O1046" s="61"/>
      <c r="P1046" s="61"/>
      <c r="Q1046" s="61"/>
      <c r="R1046" s="61"/>
      <c r="S1046" s="61"/>
      <c r="T1046" s="61"/>
      <c r="U1046" s="61"/>
      <c r="V1046" s="61"/>
      <c r="W1046" s="61"/>
      <c r="X1046" s="61"/>
      <c r="Y1046" s="61"/>
      <c r="Z1046" s="61"/>
    </row>
    <row r="1047" ht="15.75" customHeight="1">
      <c r="A1047" s="61"/>
      <c r="B1047" s="61"/>
      <c r="C1047" s="61"/>
      <c r="D1047" s="61"/>
      <c r="E1047" s="61"/>
      <c r="F1047" s="61"/>
      <c r="G1047" s="61" t="str">
        <f>IFERROR(__xludf.DUMMYFUNCTION("""COMPUTED_VALUE"""),"")</f>
        <v/>
      </c>
      <c r="H1047" s="63"/>
      <c r="I1047" s="61"/>
      <c r="J1047" s="61"/>
      <c r="K1047" s="61"/>
      <c r="L1047" s="61"/>
      <c r="M1047" s="61"/>
      <c r="N1047" s="61"/>
      <c r="O1047" s="61"/>
      <c r="P1047" s="61"/>
      <c r="Q1047" s="61"/>
      <c r="R1047" s="61"/>
      <c r="S1047" s="61"/>
      <c r="T1047" s="61"/>
      <c r="U1047" s="61"/>
      <c r="V1047" s="61"/>
      <c r="W1047" s="61"/>
      <c r="X1047" s="61"/>
      <c r="Y1047" s="61"/>
      <c r="Z1047" s="61"/>
    </row>
    <row r="1048" ht="15.75" customHeight="1">
      <c r="A1048" s="61"/>
      <c r="B1048" s="61"/>
      <c r="C1048" s="61"/>
      <c r="D1048" s="61"/>
      <c r="E1048" s="61"/>
      <c r="F1048" s="61"/>
      <c r="G1048" s="61" t="str">
        <f>IFERROR(__xludf.DUMMYFUNCTION("""COMPUTED_VALUE"""),"")</f>
        <v/>
      </c>
      <c r="H1048" s="63"/>
      <c r="I1048" s="61"/>
      <c r="J1048" s="61"/>
      <c r="K1048" s="61"/>
      <c r="L1048" s="61"/>
      <c r="M1048" s="61"/>
      <c r="N1048" s="61"/>
      <c r="O1048" s="61"/>
      <c r="P1048" s="61"/>
      <c r="Q1048" s="61"/>
      <c r="R1048" s="61"/>
      <c r="S1048" s="61"/>
      <c r="T1048" s="61"/>
      <c r="U1048" s="61"/>
      <c r="V1048" s="61"/>
      <c r="W1048" s="61"/>
      <c r="X1048" s="61"/>
      <c r="Y1048" s="61"/>
      <c r="Z1048" s="61"/>
    </row>
    <row r="1049" ht="15.75" customHeight="1">
      <c r="A1049" s="61"/>
      <c r="B1049" s="61"/>
      <c r="C1049" s="61"/>
      <c r="D1049" s="61"/>
      <c r="E1049" s="61"/>
      <c r="F1049" s="61"/>
      <c r="G1049" s="61" t="str">
        <f>IFERROR(__xludf.DUMMYFUNCTION("""COMPUTED_VALUE"""),"")</f>
        <v/>
      </c>
      <c r="H1049" s="63"/>
      <c r="I1049" s="61"/>
      <c r="J1049" s="61"/>
      <c r="K1049" s="61"/>
      <c r="L1049" s="61"/>
      <c r="M1049" s="61"/>
      <c r="N1049" s="61"/>
      <c r="O1049" s="61"/>
      <c r="P1049" s="61"/>
      <c r="Q1049" s="61"/>
      <c r="R1049" s="61"/>
      <c r="S1049" s="61"/>
      <c r="T1049" s="61"/>
      <c r="U1049" s="61"/>
      <c r="V1049" s="61"/>
      <c r="W1049" s="61"/>
      <c r="X1049" s="61"/>
      <c r="Y1049" s="61"/>
      <c r="Z1049" s="61"/>
    </row>
    <row r="1050" ht="15.75" customHeight="1">
      <c r="A1050" s="61"/>
      <c r="B1050" s="61"/>
      <c r="C1050" s="61"/>
      <c r="D1050" s="61"/>
      <c r="E1050" s="61"/>
      <c r="F1050" s="61"/>
      <c r="G1050" s="61" t="str">
        <f>IFERROR(__xludf.DUMMYFUNCTION("""COMPUTED_VALUE"""),"")</f>
        <v/>
      </c>
      <c r="H1050" s="63"/>
      <c r="I1050" s="61"/>
      <c r="J1050" s="61"/>
      <c r="K1050" s="61"/>
      <c r="L1050" s="61"/>
      <c r="M1050" s="61"/>
      <c r="N1050" s="61"/>
      <c r="O1050" s="61"/>
      <c r="P1050" s="61"/>
      <c r="Q1050" s="61"/>
      <c r="R1050" s="61"/>
      <c r="S1050" s="61"/>
      <c r="T1050" s="61"/>
      <c r="U1050" s="61"/>
      <c r="V1050" s="61"/>
      <c r="W1050" s="61"/>
      <c r="X1050" s="61"/>
      <c r="Y1050" s="61"/>
      <c r="Z1050" s="61"/>
    </row>
    <row r="1051" ht="15.75" customHeight="1">
      <c r="A1051" s="61"/>
      <c r="B1051" s="61"/>
      <c r="C1051" s="61"/>
      <c r="D1051" s="61"/>
      <c r="E1051" s="61"/>
      <c r="F1051" s="61"/>
      <c r="G1051" s="61" t="str">
        <f>IFERROR(__xludf.DUMMYFUNCTION("""COMPUTED_VALUE"""),"")</f>
        <v/>
      </c>
      <c r="H1051" s="63"/>
      <c r="I1051" s="61"/>
      <c r="J1051" s="61"/>
      <c r="K1051" s="61"/>
      <c r="L1051" s="61"/>
      <c r="M1051" s="61"/>
      <c r="N1051" s="61"/>
      <c r="O1051" s="61"/>
      <c r="P1051" s="61"/>
      <c r="Q1051" s="61"/>
      <c r="R1051" s="61"/>
      <c r="S1051" s="61"/>
      <c r="T1051" s="61"/>
      <c r="U1051" s="61"/>
      <c r="V1051" s="61"/>
      <c r="W1051" s="61"/>
      <c r="X1051" s="61"/>
      <c r="Y1051" s="61"/>
      <c r="Z1051" s="61"/>
    </row>
    <row r="1052" ht="15.75" customHeight="1">
      <c r="A1052" s="61"/>
      <c r="B1052" s="61"/>
      <c r="C1052" s="61"/>
      <c r="D1052" s="61"/>
      <c r="E1052" s="61"/>
      <c r="F1052" s="61"/>
      <c r="G1052" s="61" t="str">
        <f>IFERROR(__xludf.DUMMYFUNCTION("""COMPUTED_VALUE"""),"")</f>
        <v/>
      </c>
      <c r="H1052" s="63"/>
      <c r="I1052" s="61"/>
      <c r="J1052" s="61"/>
      <c r="K1052" s="61"/>
      <c r="L1052" s="61"/>
      <c r="M1052" s="61"/>
      <c r="N1052" s="61"/>
      <c r="O1052" s="61"/>
      <c r="P1052" s="61"/>
      <c r="Q1052" s="61"/>
      <c r="R1052" s="61"/>
      <c r="S1052" s="61"/>
      <c r="T1052" s="61"/>
      <c r="U1052" s="61"/>
      <c r="V1052" s="61"/>
      <c r="W1052" s="61"/>
      <c r="X1052" s="61"/>
      <c r="Y1052" s="61"/>
      <c r="Z1052" s="61"/>
    </row>
    <row r="1053" ht="15.75" customHeight="1">
      <c r="A1053" s="61"/>
      <c r="B1053" s="61"/>
      <c r="C1053" s="61"/>
      <c r="D1053" s="61"/>
      <c r="E1053" s="61"/>
      <c r="F1053" s="61"/>
      <c r="G1053" s="61" t="str">
        <f>IFERROR(__xludf.DUMMYFUNCTION("""COMPUTED_VALUE"""),"")</f>
        <v/>
      </c>
      <c r="H1053" s="63"/>
      <c r="I1053" s="61"/>
      <c r="J1053" s="61"/>
      <c r="K1053" s="61"/>
      <c r="L1053" s="61"/>
      <c r="M1053" s="61"/>
      <c r="N1053" s="61"/>
      <c r="O1053" s="61"/>
      <c r="P1053" s="61"/>
      <c r="Q1053" s="61"/>
      <c r="R1053" s="61"/>
      <c r="S1053" s="61"/>
      <c r="T1053" s="61"/>
      <c r="U1053" s="61"/>
      <c r="V1053" s="61"/>
      <c r="W1053" s="61"/>
      <c r="X1053" s="61"/>
      <c r="Y1053" s="61"/>
      <c r="Z1053" s="61"/>
    </row>
    <row r="1054" ht="15.75" customHeight="1">
      <c r="A1054" s="61"/>
      <c r="B1054" s="61"/>
      <c r="C1054" s="61"/>
      <c r="D1054" s="61"/>
      <c r="E1054" s="61"/>
      <c r="F1054" s="61"/>
      <c r="G1054" s="61" t="str">
        <f>IFERROR(__xludf.DUMMYFUNCTION("""COMPUTED_VALUE"""),"")</f>
        <v/>
      </c>
      <c r="H1054" s="63"/>
      <c r="I1054" s="61"/>
      <c r="J1054" s="61"/>
      <c r="K1054" s="61"/>
      <c r="L1054" s="61"/>
      <c r="M1054" s="61"/>
      <c r="N1054" s="61"/>
      <c r="O1054" s="61"/>
      <c r="P1054" s="61"/>
      <c r="Q1054" s="61"/>
      <c r="R1054" s="61"/>
      <c r="S1054" s="61"/>
      <c r="T1054" s="61"/>
      <c r="U1054" s="61"/>
      <c r="V1054" s="61"/>
      <c r="W1054" s="61"/>
      <c r="X1054" s="61"/>
      <c r="Y1054" s="61"/>
      <c r="Z1054" s="61"/>
    </row>
    <row r="1055" ht="15.75" customHeight="1">
      <c r="A1055" s="61"/>
      <c r="B1055" s="61"/>
      <c r="C1055" s="61"/>
      <c r="D1055" s="61"/>
      <c r="E1055" s="61"/>
      <c r="F1055" s="61"/>
      <c r="G1055" s="61" t="str">
        <f>IFERROR(__xludf.DUMMYFUNCTION("""COMPUTED_VALUE"""),"")</f>
        <v/>
      </c>
      <c r="H1055" s="63"/>
      <c r="I1055" s="61"/>
      <c r="J1055" s="61"/>
      <c r="K1055" s="61"/>
      <c r="L1055" s="61"/>
      <c r="M1055" s="61"/>
      <c r="N1055" s="61"/>
      <c r="O1055" s="61"/>
      <c r="P1055" s="61"/>
      <c r="Q1055" s="61"/>
      <c r="R1055" s="61"/>
      <c r="S1055" s="61"/>
      <c r="T1055" s="61"/>
      <c r="U1055" s="61"/>
      <c r="V1055" s="61"/>
      <c r="W1055" s="61"/>
      <c r="X1055" s="61"/>
      <c r="Y1055" s="61"/>
      <c r="Z1055" s="61"/>
    </row>
    <row r="1056" ht="15.75" customHeight="1">
      <c r="A1056" s="61"/>
      <c r="B1056" s="61"/>
      <c r="C1056" s="61"/>
      <c r="D1056" s="61"/>
      <c r="E1056" s="61"/>
      <c r="F1056" s="61"/>
      <c r="G1056" s="61" t="str">
        <f>IFERROR(__xludf.DUMMYFUNCTION("""COMPUTED_VALUE"""),"")</f>
        <v/>
      </c>
      <c r="H1056" s="63"/>
      <c r="I1056" s="61"/>
      <c r="J1056" s="61"/>
      <c r="K1056" s="61"/>
      <c r="L1056" s="61"/>
      <c r="M1056" s="61"/>
      <c r="N1056" s="61"/>
      <c r="O1056" s="61"/>
      <c r="P1056" s="61"/>
      <c r="Q1056" s="61"/>
      <c r="R1056" s="61"/>
      <c r="S1056" s="61"/>
      <c r="T1056" s="61"/>
      <c r="U1056" s="61"/>
      <c r="V1056" s="61"/>
      <c r="W1056" s="61"/>
      <c r="X1056" s="61"/>
      <c r="Y1056" s="61"/>
      <c r="Z1056" s="61"/>
    </row>
    <row r="1057" ht="15.75" customHeight="1">
      <c r="A1057" s="61"/>
      <c r="B1057" s="61"/>
      <c r="C1057" s="61"/>
      <c r="D1057" s="61"/>
      <c r="E1057" s="61"/>
      <c r="F1057" s="61"/>
      <c r="G1057" s="61" t="str">
        <f>IFERROR(__xludf.DUMMYFUNCTION("""COMPUTED_VALUE"""),"")</f>
        <v/>
      </c>
      <c r="H1057" s="63"/>
      <c r="I1057" s="61"/>
      <c r="J1057" s="61"/>
      <c r="K1057" s="61"/>
      <c r="L1057" s="61"/>
      <c r="M1057" s="61"/>
      <c r="N1057" s="61"/>
      <c r="O1057" s="61"/>
      <c r="P1057" s="61"/>
      <c r="Q1057" s="61"/>
      <c r="R1057" s="61"/>
      <c r="S1057" s="61"/>
      <c r="T1057" s="61"/>
      <c r="U1057" s="61"/>
      <c r="V1057" s="61"/>
      <c r="W1057" s="61"/>
      <c r="X1057" s="61"/>
      <c r="Y1057" s="61"/>
      <c r="Z1057" s="61"/>
    </row>
    <row r="1058" ht="15.75" customHeight="1">
      <c r="A1058" s="61"/>
      <c r="B1058" s="61"/>
      <c r="C1058" s="61"/>
      <c r="D1058" s="61"/>
      <c r="E1058" s="61"/>
      <c r="F1058" s="61"/>
      <c r="G1058" s="61" t="str">
        <f>IFERROR(__xludf.DUMMYFUNCTION("""COMPUTED_VALUE"""),"")</f>
        <v/>
      </c>
      <c r="H1058" s="63"/>
      <c r="I1058" s="61"/>
      <c r="J1058" s="61"/>
      <c r="K1058" s="61"/>
      <c r="L1058" s="61"/>
      <c r="M1058" s="61"/>
      <c r="N1058" s="61"/>
      <c r="O1058" s="61"/>
      <c r="P1058" s="61"/>
      <c r="Q1058" s="61"/>
      <c r="R1058" s="61"/>
      <c r="S1058" s="61"/>
      <c r="T1058" s="61"/>
      <c r="U1058" s="61"/>
      <c r="V1058" s="61"/>
      <c r="W1058" s="61"/>
      <c r="X1058" s="61"/>
      <c r="Y1058" s="61"/>
      <c r="Z1058" s="61"/>
    </row>
    <row r="1059" ht="15.75" customHeight="1">
      <c r="A1059" s="61"/>
      <c r="B1059" s="61"/>
      <c r="C1059" s="61"/>
      <c r="D1059" s="61"/>
      <c r="E1059" s="61"/>
      <c r="F1059" s="61"/>
      <c r="G1059" s="61" t="str">
        <f>IFERROR(__xludf.DUMMYFUNCTION("""COMPUTED_VALUE"""),"")</f>
        <v/>
      </c>
      <c r="H1059" s="63"/>
      <c r="I1059" s="61"/>
      <c r="J1059" s="61"/>
      <c r="K1059" s="61"/>
      <c r="L1059" s="61"/>
      <c r="M1059" s="61"/>
      <c r="N1059" s="61"/>
      <c r="O1059" s="61"/>
      <c r="P1059" s="61"/>
      <c r="Q1059" s="61"/>
      <c r="R1059" s="61"/>
      <c r="S1059" s="61"/>
      <c r="T1059" s="61"/>
      <c r="U1059" s="61"/>
      <c r="V1059" s="61"/>
      <c r="W1059" s="61"/>
      <c r="X1059" s="61"/>
      <c r="Y1059" s="61"/>
      <c r="Z1059" s="61"/>
    </row>
    <row r="1060" ht="15.75" customHeight="1">
      <c r="A1060" s="61"/>
      <c r="B1060" s="61"/>
      <c r="C1060" s="61"/>
      <c r="D1060" s="61"/>
      <c r="E1060" s="61"/>
      <c r="F1060" s="61"/>
      <c r="G1060" s="61" t="str">
        <f>IFERROR(__xludf.DUMMYFUNCTION("""COMPUTED_VALUE"""),"")</f>
        <v/>
      </c>
      <c r="H1060" s="63"/>
      <c r="I1060" s="61"/>
      <c r="J1060" s="61"/>
      <c r="K1060" s="61"/>
      <c r="L1060" s="61"/>
      <c r="M1060" s="61"/>
      <c r="N1060" s="61"/>
      <c r="O1060" s="61"/>
      <c r="P1060" s="61"/>
      <c r="Q1060" s="61"/>
      <c r="R1060" s="61"/>
      <c r="S1060" s="61"/>
      <c r="T1060" s="61"/>
      <c r="U1060" s="61"/>
      <c r="V1060" s="61"/>
      <c r="W1060" s="61"/>
      <c r="X1060" s="61"/>
      <c r="Y1060" s="61"/>
      <c r="Z1060" s="61"/>
    </row>
    <row r="1061" ht="15.75" customHeight="1">
      <c r="A1061" s="61"/>
      <c r="B1061" s="61"/>
      <c r="C1061" s="61"/>
      <c r="D1061" s="61"/>
      <c r="E1061" s="61"/>
      <c r="F1061" s="61"/>
      <c r="G1061" s="61" t="str">
        <f>IFERROR(__xludf.DUMMYFUNCTION("""COMPUTED_VALUE"""),"")</f>
        <v/>
      </c>
      <c r="H1061" s="63"/>
      <c r="I1061" s="61"/>
      <c r="J1061" s="61"/>
      <c r="K1061" s="61"/>
      <c r="L1061" s="61"/>
      <c r="M1061" s="61"/>
      <c r="N1061" s="61"/>
      <c r="O1061" s="61"/>
      <c r="P1061" s="61"/>
      <c r="Q1061" s="61"/>
      <c r="R1061" s="61"/>
      <c r="S1061" s="61"/>
      <c r="T1061" s="61"/>
      <c r="U1061" s="61"/>
      <c r="V1061" s="61"/>
      <c r="W1061" s="61"/>
      <c r="X1061" s="61"/>
      <c r="Y1061" s="61"/>
      <c r="Z1061" s="61"/>
    </row>
    <row r="1062" ht="15.75" customHeight="1">
      <c r="A1062" s="61"/>
      <c r="B1062" s="61"/>
      <c r="C1062" s="61"/>
      <c r="D1062" s="61"/>
      <c r="E1062" s="61"/>
      <c r="F1062" s="61"/>
      <c r="G1062" s="61" t="str">
        <f>IFERROR(__xludf.DUMMYFUNCTION("""COMPUTED_VALUE"""),"")</f>
        <v/>
      </c>
      <c r="H1062" s="63"/>
      <c r="I1062" s="61"/>
      <c r="J1062" s="61"/>
      <c r="K1062" s="61"/>
      <c r="L1062" s="61"/>
      <c r="M1062" s="61"/>
      <c r="N1062" s="61"/>
      <c r="O1062" s="61"/>
      <c r="P1062" s="61"/>
      <c r="Q1062" s="61"/>
      <c r="R1062" s="61"/>
      <c r="S1062" s="61"/>
      <c r="T1062" s="61"/>
      <c r="U1062" s="61"/>
      <c r="V1062" s="61"/>
      <c r="W1062" s="61"/>
      <c r="X1062" s="61"/>
      <c r="Y1062" s="61"/>
      <c r="Z1062" s="61"/>
    </row>
    <row r="1063" ht="15.75" customHeight="1">
      <c r="A1063" s="61"/>
      <c r="B1063" s="61"/>
      <c r="C1063" s="61"/>
      <c r="D1063" s="61"/>
      <c r="E1063" s="61"/>
      <c r="F1063" s="61"/>
      <c r="G1063" s="61" t="str">
        <f>IFERROR(__xludf.DUMMYFUNCTION("""COMPUTED_VALUE"""),"")</f>
        <v/>
      </c>
      <c r="H1063" s="63"/>
      <c r="I1063" s="61"/>
      <c r="J1063" s="61"/>
      <c r="K1063" s="61"/>
      <c r="L1063" s="61"/>
      <c r="M1063" s="61"/>
      <c r="N1063" s="61"/>
      <c r="O1063" s="61"/>
      <c r="P1063" s="61"/>
      <c r="Q1063" s="61"/>
      <c r="R1063" s="61"/>
      <c r="S1063" s="61"/>
      <c r="T1063" s="61"/>
      <c r="U1063" s="61"/>
      <c r="V1063" s="61"/>
      <c r="W1063" s="61"/>
      <c r="X1063" s="61"/>
      <c r="Y1063" s="61"/>
      <c r="Z1063" s="61"/>
    </row>
    <row r="1064" ht="15.75" customHeight="1">
      <c r="A1064" s="61"/>
      <c r="B1064" s="61"/>
      <c r="C1064" s="61"/>
      <c r="D1064" s="61"/>
      <c r="E1064" s="61"/>
      <c r="F1064" s="61"/>
      <c r="G1064" s="61" t="str">
        <f>IFERROR(__xludf.DUMMYFUNCTION("""COMPUTED_VALUE"""),"")</f>
        <v/>
      </c>
      <c r="H1064" s="63"/>
      <c r="I1064" s="61"/>
      <c r="J1064" s="61"/>
      <c r="K1064" s="61"/>
      <c r="L1064" s="61"/>
      <c r="M1064" s="61"/>
      <c r="N1064" s="61"/>
      <c r="O1064" s="61"/>
      <c r="P1064" s="61"/>
      <c r="Q1064" s="61"/>
      <c r="R1064" s="61"/>
      <c r="S1064" s="61"/>
      <c r="T1064" s="61"/>
      <c r="U1064" s="61"/>
      <c r="V1064" s="61"/>
      <c r="W1064" s="61"/>
      <c r="X1064" s="61"/>
      <c r="Y1064" s="61"/>
      <c r="Z1064" s="61"/>
    </row>
    <row r="1065" ht="15.75" customHeight="1">
      <c r="A1065" s="61"/>
      <c r="B1065" s="61"/>
      <c r="C1065" s="61"/>
      <c r="D1065" s="61"/>
      <c r="E1065" s="61"/>
      <c r="F1065" s="61"/>
      <c r="G1065" s="61" t="str">
        <f>IFERROR(__xludf.DUMMYFUNCTION("""COMPUTED_VALUE"""),"")</f>
        <v/>
      </c>
      <c r="H1065" s="63"/>
      <c r="I1065" s="61"/>
      <c r="J1065" s="61"/>
      <c r="K1065" s="61"/>
      <c r="L1065" s="61"/>
      <c r="M1065" s="61"/>
      <c r="N1065" s="61"/>
      <c r="O1065" s="61"/>
      <c r="P1065" s="61"/>
      <c r="Q1065" s="61"/>
      <c r="R1065" s="61"/>
      <c r="S1065" s="61"/>
      <c r="T1065" s="61"/>
      <c r="U1065" s="61"/>
      <c r="V1065" s="61"/>
      <c r="W1065" s="61"/>
      <c r="X1065" s="61"/>
      <c r="Y1065" s="61"/>
      <c r="Z1065" s="61"/>
    </row>
    <row r="1066" ht="15.75" customHeight="1">
      <c r="A1066" s="61"/>
      <c r="B1066" s="61"/>
      <c r="C1066" s="61"/>
      <c r="D1066" s="61"/>
      <c r="E1066" s="61"/>
      <c r="F1066" s="61"/>
      <c r="G1066" s="61" t="str">
        <f>IFERROR(__xludf.DUMMYFUNCTION("""COMPUTED_VALUE"""),"")</f>
        <v/>
      </c>
      <c r="H1066" s="63"/>
      <c r="I1066" s="61"/>
      <c r="J1066" s="61"/>
      <c r="K1066" s="61"/>
      <c r="L1066" s="61"/>
      <c r="M1066" s="61"/>
      <c r="N1066" s="61"/>
      <c r="O1066" s="61"/>
      <c r="P1066" s="61"/>
      <c r="Q1066" s="61"/>
      <c r="R1066" s="61"/>
      <c r="S1066" s="61"/>
      <c r="T1066" s="61"/>
      <c r="U1066" s="61"/>
      <c r="V1066" s="61"/>
      <c r="W1066" s="61"/>
      <c r="X1066" s="61"/>
      <c r="Y1066" s="61"/>
      <c r="Z1066" s="61"/>
    </row>
    <row r="1067" ht="15.75" customHeight="1">
      <c r="A1067" s="61"/>
      <c r="B1067" s="61"/>
      <c r="C1067" s="61"/>
      <c r="D1067" s="61"/>
      <c r="E1067" s="61"/>
      <c r="F1067" s="61"/>
      <c r="G1067" s="61" t="str">
        <f>IFERROR(__xludf.DUMMYFUNCTION("""COMPUTED_VALUE"""),"")</f>
        <v/>
      </c>
      <c r="H1067" s="63"/>
      <c r="I1067" s="61"/>
      <c r="J1067" s="61"/>
      <c r="K1067" s="61"/>
      <c r="L1067" s="61"/>
      <c r="M1067" s="61"/>
      <c r="N1067" s="61"/>
      <c r="O1067" s="61"/>
      <c r="P1067" s="61"/>
      <c r="Q1067" s="61"/>
      <c r="R1067" s="61"/>
      <c r="S1067" s="61"/>
      <c r="T1067" s="61"/>
      <c r="U1067" s="61"/>
      <c r="V1067" s="61"/>
      <c r="W1067" s="61"/>
      <c r="X1067" s="61"/>
      <c r="Y1067" s="61"/>
      <c r="Z1067" s="61"/>
    </row>
    <row r="1068" ht="15.75" customHeight="1">
      <c r="A1068" s="61"/>
      <c r="B1068" s="61"/>
      <c r="C1068" s="61"/>
      <c r="D1068" s="61"/>
      <c r="E1068" s="61"/>
      <c r="F1068" s="61"/>
      <c r="G1068" s="61" t="str">
        <f>IFERROR(__xludf.DUMMYFUNCTION("""COMPUTED_VALUE"""),"")</f>
        <v/>
      </c>
      <c r="H1068" s="63"/>
      <c r="I1068" s="61"/>
      <c r="J1068" s="61"/>
      <c r="K1068" s="61"/>
      <c r="L1068" s="61"/>
      <c r="M1068" s="61"/>
      <c r="N1068" s="61"/>
      <c r="O1068" s="61"/>
      <c r="P1068" s="61"/>
      <c r="Q1068" s="61"/>
      <c r="R1068" s="61"/>
      <c r="S1068" s="61"/>
      <c r="T1068" s="61"/>
      <c r="U1068" s="61"/>
      <c r="V1068" s="61"/>
      <c r="W1068" s="61"/>
      <c r="X1068" s="61"/>
      <c r="Y1068" s="61"/>
      <c r="Z1068" s="61"/>
    </row>
    <row r="1069" ht="15.75" customHeight="1">
      <c r="A1069" s="61"/>
      <c r="B1069" s="61"/>
      <c r="C1069" s="61"/>
      <c r="D1069" s="61"/>
      <c r="E1069" s="61"/>
      <c r="F1069" s="61"/>
      <c r="G1069" s="61" t="str">
        <f>IFERROR(__xludf.DUMMYFUNCTION("""COMPUTED_VALUE"""),"")</f>
        <v/>
      </c>
      <c r="H1069" s="63"/>
      <c r="I1069" s="61"/>
      <c r="J1069" s="61"/>
      <c r="K1069" s="61"/>
      <c r="L1069" s="61"/>
      <c r="M1069" s="61"/>
      <c r="N1069" s="61"/>
      <c r="O1069" s="61"/>
      <c r="P1069" s="61"/>
      <c r="Q1069" s="61"/>
      <c r="R1069" s="61"/>
      <c r="S1069" s="61"/>
      <c r="T1069" s="61"/>
      <c r="U1069" s="61"/>
      <c r="V1069" s="61"/>
      <c r="W1069" s="61"/>
      <c r="X1069" s="61"/>
      <c r="Y1069" s="61"/>
      <c r="Z1069" s="61"/>
    </row>
    <row r="1070" ht="15.75" customHeight="1">
      <c r="A1070" s="61"/>
      <c r="B1070" s="61"/>
      <c r="C1070" s="61"/>
      <c r="D1070" s="61"/>
      <c r="E1070" s="61"/>
      <c r="F1070" s="61"/>
      <c r="G1070" s="61" t="str">
        <f>IFERROR(__xludf.DUMMYFUNCTION("""COMPUTED_VALUE"""),"")</f>
        <v/>
      </c>
      <c r="H1070" s="63"/>
      <c r="I1070" s="61"/>
      <c r="J1070" s="61"/>
      <c r="K1070" s="61"/>
      <c r="L1070" s="61"/>
      <c r="M1070" s="61"/>
      <c r="N1070" s="61"/>
      <c r="O1070" s="61"/>
      <c r="P1070" s="61"/>
      <c r="Q1070" s="61"/>
      <c r="R1070" s="61"/>
      <c r="S1070" s="61"/>
      <c r="T1070" s="61"/>
      <c r="U1070" s="61"/>
      <c r="V1070" s="61"/>
      <c r="W1070" s="61"/>
      <c r="X1070" s="61"/>
      <c r="Y1070" s="61"/>
      <c r="Z1070" s="61"/>
    </row>
    <row r="1071" ht="15.75" customHeight="1">
      <c r="A1071" s="61"/>
      <c r="B1071" s="61"/>
      <c r="C1071" s="61"/>
      <c r="D1071" s="61"/>
      <c r="E1071" s="61"/>
      <c r="F1071" s="61"/>
      <c r="G1071" s="61" t="str">
        <f>IFERROR(__xludf.DUMMYFUNCTION("""COMPUTED_VALUE"""),"")</f>
        <v/>
      </c>
      <c r="H1071" s="63"/>
      <c r="I1071" s="61"/>
      <c r="J1071" s="61"/>
      <c r="K1071" s="61"/>
      <c r="L1071" s="61"/>
      <c r="M1071" s="61"/>
      <c r="N1071" s="61"/>
      <c r="O1071" s="61"/>
      <c r="P1071" s="61"/>
      <c r="Q1071" s="61"/>
      <c r="R1071" s="61"/>
      <c r="S1071" s="61"/>
      <c r="T1071" s="61"/>
      <c r="U1071" s="61"/>
      <c r="V1071" s="61"/>
      <c r="W1071" s="61"/>
      <c r="X1071" s="61"/>
      <c r="Y1071" s="61"/>
      <c r="Z1071" s="61"/>
    </row>
    <row r="1072" ht="15.75" customHeight="1">
      <c r="A1072" s="61"/>
      <c r="B1072" s="61"/>
      <c r="C1072" s="61"/>
      <c r="D1072" s="61"/>
      <c r="E1072" s="61"/>
      <c r="F1072" s="61"/>
      <c r="G1072" s="61" t="str">
        <f>IFERROR(__xludf.DUMMYFUNCTION("""COMPUTED_VALUE"""),"")</f>
        <v/>
      </c>
      <c r="H1072" s="63"/>
      <c r="I1072" s="61"/>
      <c r="J1072" s="61"/>
      <c r="K1072" s="61"/>
      <c r="L1072" s="61"/>
      <c r="M1072" s="61"/>
      <c r="N1072" s="61"/>
      <c r="O1072" s="61"/>
      <c r="P1072" s="61"/>
      <c r="Q1072" s="61"/>
      <c r="R1072" s="61"/>
      <c r="S1072" s="61"/>
      <c r="T1072" s="61"/>
      <c r="U1072" s="61"/>
      <c r="V1072" s="61"/>
      <c r="W1072" s="61"/>
      <c r="X1072" s="61"/>
      <c r="Y1072" s="61"/>
      <c r="Z1072" s="61"/>
    </row>
    <row r="1073" ht="15.75" customHeight="1">
      <c r="A1073" s="61"/>
      <c r="B1073" s="61"/>
      <c r="C1073" s="61"/>
      <c r="D1073" s="61"/>
      <c r="E1073" s="61"/>
      <c r="F1073" s="61"/>
      <c r="G1073" s="61" t="str">
        <f>IFERROR(__xludf.DUMMYFUNCTION("""COMPUTED_VALUE"""),"")</f>
        <v/>
      </c>
      <c r="H1073" s="63"/>
      <c r="I1073" s="61"/>
      <c r="J1073" s="61"/>
      <c r="K1073" s="61"/>
      <c r="L1073" s="61"/>
      <c r="M1073" s="61"/>
      <c r="N1073" s="61"/>
      <c r="O1073" s="61"/>
      <c r="P1073" s="61"/>
      <c r="Q1073" s="61"/>
      <c r="R1073" s="61"/>
      <c r="S1073" s="61"/>
      <c r="T1073" s="61"/>
      <c r="U1073" s="61"/>
      <c r="V1073" s="61"/>
      <c r="W1073" s="61"/>
      <c r="X1073" s="61"/>
      <c r="Y1073" s="61"/>
      <c r="Z1073" s="61"/>
    </row>
    <row r="1074" ht="15.75" customHeight="1">
      <c r="A1074" s="61"/>
      <c r="B1074" s="61"/>
      <c r="C1074" s="61"/>
      <c r="D1074" s="61"/>
      <c r="E1074" s="61"/>
      <c r="F1074" s="61"/>
      <c r="G1074" s="61" t="str">
        <f>IFERROR(__xludf.DUMMYFUNCTION("""COMPUTED_VALUE"""),"")</f>
        <v/>
      </c>
      <c r="H1074" s="63"/>
      <c r="I1074" s="61"/>
      <c r="J1074" s="61"/>
      <c r="K1074" s="61"/>
      <c r="L1074" s="61"/>
      <c r="M1074" s="61"/>
      <c r="N1074" s="61"/>
      <c r="O1074" s="61"/>
      <c r="P1074" s="61"/>
      <c r="Q1074" s="61"/>
      <c r="R1074" s="61"/>
      <c r="S1074" s="61"/>
      <c r="T1074" s="61"/>
      <c r="U1074" s="61"/>
      <c r="V1074" s="61"/>
      <c r="W1074" s="61"/>
      <c r="X1074" s="61"/>
      <c r="Y1074" s="61"/>
      <c r="Z1074" s="61"/>
    </row>
    <row r="1075" ht="15.75" customHeight="1">
      <c r="A1075" s="61"/>
      <c r="B1075" s="61"/>
      <c r="C1075" s="61"/>
      <c r="D1075" s="61"/>
      <c r="E1075" s="61"/>
      <c r="F1075" s="61"/>
      <c r="G1075" s="61" t="str">
        <f>IFERROR(__xludf.DUMMYFUNCTION("""COMPUTED_VALUE"""),"")</f>
        <v/>
      </c>
      <c r="H1075" s="63"/>
      <c r="I1075" s="61"/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/>
      <c r="U1075" s="61"/>
      <c r="V1075" s="61"/>
      <c r="W1075" s="61"/>
      <c r="X1075" s="61"/>
      <c r="Y1075" s="61"/>
      <c r="Z1075" s="61"/>
    </row>
    <row r="1076" ht="15.75" customHeight="1">
      <c r="A1076" s="61"/>
      <c r="B1076" s="61"/>
      <c r="C1076" s="61"/>
      <c r="D1076" s="61"/>
      <c r="E1076" s="61"/>
      <c r="F1076" s="61"/>
      <c r="G1076" s="61" t="str">
        <f>IFERROR(__xludf.DUMMYFUNCTION("""COMPUTED_VALUE"""),"")</f>
        <v/>
      </c>
      <c r="H1076" s="63"/>
      <c r="I1076" s="61"/>
      <c r="J1076" s="61"/>
      <c r="K1076" s="61"/>
      <c r="L1076" s="61"/>
      <c r="M1076" s="61"/>
      <c r="N1076" s="61"/>
      <c r="O1076" s="61"/>
      <c r="P1076" s="61"/>
      <c r="Q1076" s="61"/>
      <c r="R1076" s="61"/>
      <c r="S1076" s="61"/>
      <c r="T1076" s="61"/>
      <c r="U1076" s="61"/>
      <c r="V1076" s="61"/>
      <c r="W1076" s="61"/>
      <c r="X1076" s="61"/>
      <c r="Y1076" s="61"/>
      <c r="Z1076" s="61"/>
    </row>
    <row r="1077" ht="15.75" customHeight="1">
      <c r="A1077" s="61"/>
      <c r="B1077" s="61"/>
      <c r="C1077" s="61"/>
      <c r="D1077" s="61"/>
      <c r="E1077" s="61"/>
      <c r="F1077" s="61"/>
      <c r="G1077" s="61" t="str">
        <f>IFERROR(__xludf.DUMMYFUNCTION("""COMPUTED_VALUE"""),"")</f>
        <v/>
      </c>
      <c r="H1077" s="63"/>
      <c r="I1077" s="61"/>
      <c r="J1077" s="61"/>
      <c r="K1077" s="61"/>
      <c r="L1077" s="61"/>
      <c r="M1077" s="61"/>
      <c r="N1077" s="61"/>
      <c r="O1077" s="61"/>
      <c r="P1077" s="61"/>
      <c r="Q1077" s="61"/>
      <c r="R1077" s="61"/>
      <c r="S1077" s="61"/>
      <c r="T1077" s="61"/>
      <c r="U1077" s="61"/>
      <c r="V1077" s="61"/>
      <c r="W1077" s="61"/>
      <c r="X1077" s="61"/>
      <c r="Y1077" s="61"/>
      <c r="Z1077" s="61"/>
    </row>
    <row r="1078" ht="15.75" customHeight="1">
      <c r="A1078" s="61"/>
      <c r="B1078" s="61"/>
      <c r="C1078" s="61"/>
      <c r="D1078" s="61"/>
      <c r="E1078" s="61"/>
      <c r="F1078" s="61"/>
      <c r="G1078" s="61" t="str">
        <f>IFERROR(__xludf.DUMMYFUNCTION("""COMPUTED_VALUE"""),"")</f>
        <v/>
      </c>
      <c r="H1078" s="63"/>
      <c r="I1078" s="61"/>
      <c r="J1078" s="61"/>
      <c r="K1078" s="61"/>
      <c r="L1078" s="61"/>
      <c r="M1078" s="61"/>
      <c r="N1078" s="61"/>
      <c r="O1078" s="61"/>
      <c r="P1078" s="61"/>
      <c r="Q1078" s="61"/>
      <c r="R1078" s="61"/>
      <c r="S1078" s="61"/>
      <c r="T1078" s="61"/>
      <c r="U1078" s="61"/>
      <c r="V1078" s="61"/>
      <c r="W1078" s="61"/>
      <c r="X1078" s="61"/>
      <c r="Y1078" s="61"/>
      <c r="Z1078" s="61"/>
    </row>
    <row r="1079" ht="15.75" customHeight="1">
      <c r="A1079" s="61"/>
      <c r="B1079" s="61"/>
      <c r="C1079" s="61"/>
      <c r="D1079" s="61"/>
      <c r="E1079" s="61"/>
      <c r="F1079" s="61"/>
      <c r="G1079" s="61" t="str">
        <f>IFERROR(__xludf.DUMMYFUNCTION("""COMPUTED_VALUE"""),"")</f>
        <v/>
      </c>
      <c r="H1079" s="63"/>
      <c r="I1079" s="61"/>
      <c r="J1079" s="61"/>
      <c r="K1079" s="61"/>
      <c r="L1079" s="61"/>
      <c r="M1079" s="61"/>
      <c r="N1079" s="61"/>
      <c r="O1079" s="61"/>
      <c r="P1079" s="61"/>
      <c r="Q1079" s="61"/>
      <c r="R1079" s="61"/>
      <c r="S1079" s="61"/>
      <c r="T1079" s="61"/>
      <c r="U1079" s="61"/>
      <c r="V1079" s="61"/>
      <c r="W1079" s="61"/>
      <c r="X1079" s="61"/>
      <c r="Y1079" s="61"/>
      <c r="Z1079" s="61"/>
    </row>
    <row r="1080" ht="15.75" customHeight="1">
      <c r="A1080" s="61"/>
      <c r="B1080" s="61"/>
      <c r="C1080" s="61"/>
      <c r="D1080" s="61"/>
      <c r="E1080" s="61"/>
      <c r="F1080" s="61"/>
      <c r="G1080" s="61" t="str">
        <f>IFERROR(__xludf.DUMMYFUNCTION("""COMPUTED_VALUE"""),"")</f>
        <v/>
      </c>
      <c r="H1080" s="63"/>
      <c r="I1080" s="61"/>
      <c r="J1080" s="61"/>
      <c r="K1080" s="61"/>
      <c r="L1080" s="61"/>
      <c r="M1080" s="61"/>
      <c r="N1080" s="61"/>
      <c r="O1080" s="61"/>
      <c r="P1080" s="61"/>
      <c r="Q1080" s="61"/>
      <c r="R1080" s="61"/>
      <c r="S1080" s="61"/>
      <c r="T1080" s="61"/>
      <c r="U1080" s="61"/>
      <c r="V1080" s="61"/>
      <c r="W1080" s="61"/>
      <c r="X1080" s="61"/>
      <c r="Y1080" s="61"/>
      <c r="Z1080" s="61"/>
    </row>
    <row r="1081" ht="15.75" customHeight="1">
      <c r="A1081" s="61"/>
      <c r="B1081" s="61"/>
      <c r="C1081" s="61"/>
      <c r="D1081" s="61"/>
      <c r="E1081" s="61"/>
      <c r="F1081" s="61"/>
      <c r="G1081" s="61" t="str">
        <f>IFERROR(__xludf.DUMMYFUNCTION("""COMPUTED_VALUE"""),"")</f>
        <v/>
      </c>
      <c r="H1081" s="63"/>
      <c r="I1081" s="61"/>
      <c r="J1081" s="61"/>
      <c r="K1081" s="61"/>
      <c r="L1081" s="61"/>
      <c r="M1081" s="61"/>
      <c r="N1081" s="61"/>
      <c r="O1081" s="61"/>
      <c r="P1081" s="61"/>
      <c r="Q1081" s="61"/>
      <c r="R1081" s="61"/>
      <c r="S1081" s="61"/>
      <c r="T1081" s="61"/>
      <c r="U1081" s="61"/>
      <c r="V1081" s="61"/>
      <c r="W1081" s="61"/>
      <c r="X1081" s="61"/>
      <c r="Y1081" s="61"/>
      <c r="Z1081" s="61"/>
    </row>
    <row r="1082" ht="15.75" customHeight="1">
      <c r="A1082" s="61"/>
      <c r="B1082" s="61"/>
      <c r="C1082" s="61"/>
      <c r="D1082" s="61"/>
      <c r="E1082" s="61"/>
      <c r="F1082" s="61"/>
      <c r="G1082" s="61" t="str">
        <f>IFERROR(__xludf.DUMMYFUNCTION("""COMPUTED_VALUE"""),"")</f>
        <v/>
      </c>
      <c r="H1082" s="63"/>
      <c r="I1082" s="61"/>
      <c r="J1082" s="61"/>
      <c r="K1082" s="61"/>
      <c r="L1082" s="61"/>
      <c r="M1082" s="61"/>
      <c r="N1082" s="61"/>
      <c r="O1082" s="61"/>
      <c r="P1082" s="61"/>
      <c r="Q1082" s="61"/>
      <c r="R1082" s="61"/>
      <c r="S1082" s="61"/>
      <c r="T1082" s="61"/>
      <c r="U1082" s="61"/>
      <c r="V1082" s="61"/>
      <c r="W1082" s="61"/>
      <c r="X1082" s="61"/>
      <c r="Y1082" s="61"/>
      <c r="Z1082" s="61"/>
    </row>
    <row r="1083" ht="15.75" customHeight="1">
      <c r="A1083" s="61"/>
      <c r="B1083" s="61"/>
      <c r="C1083" s="61"/>
      <c r="D1083" s="61"/>
      <c r="E1083" s="61"/>
      <c r="F1083" s="61"/>
      <c r="G1083" s="61" t="str">
        <f>IFERROR(__xludf.DUMMYFUNCTION("""COMPUTED_VALUE"""),"")</f>
        <v/>
      </c>
      <c r="H1083" s="63"/>
      <c r="I1083" s="61"/>
      <c r="J1083" s="61"/>
      <c r="K1083" s="61"/>
      <c r="L1083" s="61"/>
      <c r="M1083" s="61"/>
      <c r="N1083" s="61"/>
      <c r="O1083" s="61"/>
      <c r="P1083" s="61"/>
      <c r="Q1083" s="61"/>
      <c r="R1083" s="61"/>
      <c r="S1083" s="61"/>
      <c r="T1083" s="61"/>
      <c r="U1083" s="61"/>
      <c r="V1083" s="61"/>
      <c r="W1083" s="61"/>
      <c r="X1083" s="61"/>
      <c r="Y1083" s="61"/>
      <c r="Z1083" s="61"/>
    </row>
    <row r="1084" ht="15.75" customHeight="1">
      <c r="A1084" s="61"/>
      <c r="B1084" s="61"/>
      <c r="C1084" s="61"/>
      <c r="D1084" s="61"/>
      <c r="E1084" s="61"/>
      <c r="F1084" s="61"/>
      <c r="G1084" s="61" t="str">
        <f>IFERROR(__xludf.DUMMYFUNCTION("""COMPUTED_VALUE"""),"")</f>
        <v/>
      </c>
      <c r="H1084" s="63"/>
      <c r="I1084" s="61"/>
      <c r="J1084" s="61"/>
      <c r="K1084" s="61"/>
      <c r="L1084" s="61"/>
      <c r="M1084" s="61"/>
      <c r="N1084" s="61"/>
      <c r="O1084" s="61"/>
      <c r="P1084" s="61"/>
      <c r="Q1084" s="61"/>
      <c r="R1084" s="61"/>
      <c r="S1084" s="61"/>
      <c r="T1084" s="61"/>
      <c r="U1084" s="61"/>
      <c r="V1084" s="61"/>
      <c r="W1084" s="61"/>
      <c r="X1084" s="61"/>
      <c r="Y1084" s="61"/>
      <c r="Z1084" s="61"/>
    </row>
    <row r="1085" ht="15.75" customHeight="1">
      <c r="A1085" s="61"/>
      <c r="B1085" s="61"/>
      <c r="C1085" s="61"/>
      <c r="D1085" s="61"/>
      <c r="E1085" s="61"/>
      <c r="F1085" s="61"/>
      <c r="G1085" s="61" t="str">
        <f>IFERROR(__xludf.DUMMYFUNCTION("""COMPUTED_VALUE"""),"")</f>
        <v/>
      </c>
      <c r="H1085" s="63"/>
      <c r="I1085" s="61"/>
      <c r="J1085" s="61"/>
      <c r="K1085" s="61"/>
      <c r="L1085" s="61"/>
      <c r="M1085" s="61"/>
      <c r="N1085" s="61"/>
      <c r="O1085" s="61"/>
      <c r="P1085" s="61"/>
      <c r="Q1085" s="61"/>
      <c r="R1085" s="61"/>
      <c r="S1085" s="61"/>
      <c r="T1085" s="61"/>
      <c r="U1085" s="61"/>
      <c r="V1085" s="61"/>
      <c r="W1085" s="61"/>
      <c r="X1085" s="61"/>
      <c r="Y1085" s="61"/>
      <c r="Z1085" s="61"/>
    </row>
    <row r="1086" ht="15.75" customHeight="1">
      <c r="A1086" s="61"/>
      <c r="B1086" s="61"/>
      <c r="C1086" s="61"/>
      <c r="D1086" s="61"/>
      <c r="E1086" s="61"/>
      <c r="F1086" s="61"/>
      <c r="G1086" s="61" t="str">
        <f>IFERROR(__xludf.DUMMYFUNCTION("""COMPUTED_VALUE"""),"")</f>
        <v/>
      </c>
      <c r="H1086" s="63"/>
      <c r="I1086" s="61"/>
      <c r="J1086" s="61"/>
      <c r="K1086" s="61"/>
      <c r="L1086" s="61"/>
      <c r="M1086" s="61"/>
      <c r="N1086" s="61"/>
      <c r="O1086" s="61"/>
      <c r="P1086" s="61"/>
      <c r="Q1086" s="61"/>
      <c r="R1086" s="61"/>
      <c r="S1086" s="61"/>
      <c r="T1086" s="61"/>
      <c r="U1086" s="61"/>
      <c r="V1086" s="61"/>
      <c r="W1086" s="61"/>
      <c r="X1086" s="61"/>
      <c r="Y1086" s="61"/>
      <c r="Z1086" s="61"/>
    </row>
    <row r="1087" ht="15.75" customHeight="1">
      <c r="A1087" s="61"/>
      <c r="B1087" s="61"/>
      <c r="C1087" s="61"/>
      <c r="D1087" s="61"/>
      <c r="E1087" s="61"/>
      <c r="F1087" s="61"/>
      <c r="G1087" s="61" t="str">
        <f>IFERROR(__xludf.DUMMYFUNCTION("""COMPUTED_VALUE"""),"")</f>
        <v/>
      </c>
      <c r="H1087" s="63"/>
      <c r="I1087" s="61"/>
      <c r="J1087" s="61"/>
      <c r="K1087" s="61"/>
      <c r="L1087" s="61"/>
      <c r="M1087" s="61"/>
      <c r="N1087" s="61"/>
      <c r="O1087" s="61"/>
      <c r="P1087" s="61"/>
      <c r="Q1087" s="61"/>
      <c r="R1087" s="61"/>
      <c r="S1087" s="61"/>
      <c r="T1087" s="61"/>
      <c r="U1087" s="61"/>
      <c r="V1087" s="61"/>
      <c r="W1087" s="61"/>
      <c r="X1087" s="61"/>
      <c r="Y1087" s="61"/>
      <c r="Z1087" s="61"/>
    </row>
    <row r="1088" ht="15.75" customHeight="1">
      <c r="A1088" s="61"/>
      <c r="B1088" s="61"/>
      <c r="C1088" s="61"/>
      <c r="D1088" s="61"/>
      <c r="E1088" s="61"/>
      <c r="F1088" s="61"/>
      <c r="G1088" s="61" t="str">
        <f>IFERROR(__xludf.DUMMYFUNCTION("""COMPUTED_VALUE"""),"")</f>
        <v/>
      </c>
      <c r="H1088" s="63"/>
      <c r="I1088" s="61"/>
      <c r="J1088" s="61"/>
      <c r="K1088" s="61"/>
      <c r="L1088" s="61"/>
      <c r="M1088" s="61"/>
      <c r="N1088" s="61"/>
      <c r="O1088" s="61"/>
      <c r="P1088" s="61"/>
      <c r="Q1088" s="61"/>
      <c r="R1088" s="61"/>
      <c r="S1088" s="61"/>
      <c r="T1088" s="61"/>
      <c r="U1088" s="61"/>
      <c r="V1088" s="61"/>
      <c r="W1088" s="61"/>
      <c r="X1088" s="61"/>
      <c r="Y1088" s="61"/>
      <c r="Z1088" s="61"/>
    </row>
    <row r="1089" ht="15.75" customHeight="1">
      <c r="A1089" s="61"/>
      <c r="B1089" s="61"/>
      <c r="C1089" s="61"/>
      <c r="D1089" s="61"/>
      <c r="E1089" s="61"/>
      <c r="F1089" s="61"/>
      <c r="G1089" s="61" t="str">
        <f>IFERROR(__xludf.DUMMYFUNCTION("""COMPUTED_VALUE"""),"")</f>
        <v/>
      </c>
      <c r="H1089" s="63"/>
      <c r="I1089" s="61"/>
      <c r="J1089" s="61"/>
      <c r="K1089" s="61"/>
      <c r="L1089" s="61"/>
      <c r="M1089" s="61"/>
      <c r="N1089" s="61"/>
      <c r="O1089" s="61"/>
      <c r="P1089" s="61"/>
      <c r="Q1089" s="61"/>
      <c r="R1089" s="61"/>
      <c r="S1089" s="61"/>
      <c r="T1089" s="61"/>
      <c r="U1089" s="61"/>
      <c r="V1089" s="61"/>
      <c r="W1089" s="61"/>
      <c r="X1089" s="61"/>
      <c r="Y1089" s="61"/>
      <c r="Z1089" s="61"/>
    </row>
    <row r="1090" ht="15.75" customHeight="1">
      <c r="A1090" s="61"/>
      <c r="B1090" s="61"/>
      <c r="C1090" s="61"/>
      <c r="D1090" s="61"/>
      <c r="E1090" s="61"/>
      <c r="F1090" s="61"/>
      <c r="G1090" s="61" t="str">
        <f>IFERROR(__xludf.DUMMYFUNCTION("""COMPUTED_VALUE"""),"")</f>
        <v/>
      </c>
      <c r="H1090" s="63"/>
      <c r="I1090" s="61"/>
      <c r="J1090" s="61"/>
      <c r="K1090" s="61"/>
      <c r="L1090" s="61"/>
      <c r="M1090" s="61"/>
      <c r="N1090" s="61"/>
      <c r="O1090" s="61"/>
      <c r="P1090" s="61"/>
      <c r="Q1090" s="61"/>
      <c r="R1090" s="61"/>
      <c r="S1090" s="61"/>
      <c r="T1090" s="61"/>
      <c r="U1090" s="61"/>
      <c r="V1090" s="61"/>
      <c r="W1090" s="61"/>
      <c r="X1090" s="61"/>
      <c r="Y1090" s="61"/>
      <c r="Z1090" s="61"/>
    </row>
    <row r="1091" ht="15.75" customHeight="1">
      <c r="A1091" s="61"/>
      <c r="B1091" s="61"/>
      <c r="C1091" s="61"/>
      <c r="D1091" s="61"/>
      <c r="E1091" s="61"/>
      <c r="F1091" s="61"/>
      <c r="G1091" s="61" t="str">
        <f>IFERROR(__xludf.DUMMYFUNCTION("""COMPUTED_VALUE"""),"")</f>
        <v/>
      </c>
      <c r="H1091" s="63"/>
      <c r="I1091" s="61"/>
      <c r="J1091" s="61"/>
      <c r="K1091" s="61"/>
      <c r="L1091" s="61"/>
      <c r="M1091" s="61"/>
      <c r="N1091" s="61"/>
      <c r="O1091" s="61"/>
      <c r="P1091" s="61"/>
      <c r="Q1091" s="61"/>
      <c r="R1091" s="61"/>
      <c r="S1091" s="61"/>
      <c r="T1091" s="61"/>
      <c r="U1091" s="61"/>
      <c r="V1091" s="61"/>
      <c r="W1091" s="61"/>
      <c r="X1091" s="61"/>
      <c r="Y1091" s="61"/>
      <c r="Z1091" s="61"/>
    </row>
    <row r="1092" ht="15.75" customHeight="1">
      <c r="A1092" s="61"/>
      <c r="B1092" s="61"/>
      <c r="C1092" s="61"/>
      <c r="D1092" s="61"/>
      <c r="E1092" s="61"/>
      <c r="F1092" s="61"/>
      <c r="G1092" s="61" t="str">
        <f>IFERROR(__xludf.DUMMYFUNCTION("""COMPUTED_VALUE"""),"")</f>
        <v/>
      </c>
      <c r="H1092" s="63"/>
      <c r="I1092" s="61"/>
      <c r="J1092" s="61"/>
      <c r="K1092" s="61"/>
      <c r="L1092" s="61"/>
      <c r="M1092" s="61"/>
      <c r="N1092" s="61"/>
      <c r="O1092" s="61"/>
      <c r="P1092" s="61"/>
      <c r="Q1092" s="61"/>
      <c r="R1092" s="61"/>
      <c r="S1092" s="61"/>
      <c r="T1092" s="61"/>
      <c r="U1092" s="61"/>
      <c r="V1092" s="61"/>
      <c r="W1092" s="61"/>
      <c r="X1092" s="61"/>
      <c r="Y1092" s="61"/>
      <c r="Z1092" s="61"/>
    </row>
    <row r="1093" ht="15.75" customHeight="1">
      <c r="A1093" s="61"/>
      <c r="B1093" s="61"/>
      <c r="C1093" s="61"/>
      <c r="D1093" s="61"/>
      <c r="E1093" s="61"/>
      <c r="F1093" s="61"/>
      <c r="G1093" s="61" t="str">
        <f>IFERROR(__xludf.DUMMYFUNCTION("""COMPUTED_VALUE"""),"")</f>
        <v/>
      </c>
      <c r="H1093" s="63"/>
      <c r="I1093" s="61"/>
      <c r="J1093" s="61"/>
      <c r="K1093" s="61"/>
      <c r="L1093" s="61"/>
      <c r="M1093" s="61"/>
      <c r="N1093" s="61"/>
      <c r="O1093" s="61"/>
      <c r="P1093" s="61"/>
      <c r="Q1093" s="61"/>
      <c r="R1093" s="61"/>
      <c r="S1093" s="61"/>
      <c r="T1093" s="61"/>
      <c r="U1093" s="61"/>
      <c r="V1093" s="61"/>
      <c r="W1093" s="61"/>
      <c r="X1093" s="61"/>
      <c r="Y1093" s="61"/>
      <c r="Z1093" s="61"/>
    </row>
    <row r="1094" ht="15.75" customHeight="1">
      <c r="A1094" s="61"/>
      <c r="B1094" s="61"/>
      <c r="C1094" s="61"/>
      <c r="D1094" s="61"/>
      <c r="E1094" s="61"/>
      <c r="F1094" s="61"/>
      <c r="G1094" s="61" t="str">
        <f>IFERROR(__xludf.DUMMYFUNCTION("""COMPUTED_VALUE"""),"")</f>
        <v/>
      </c>
      <c r="H1094" s="63"/>
      <c r="I1094" s="61"/>
      <c r="J1094" s="61"/>
      <c r="K1094" s="61"/>
      <c r="L1094" s="61"/>
      <c r="M1094" s="61"/>
      <c r="N1094" s="61"/>
      <c r="O1094" s="61"/>
      <c r="P1094" s="61"/>
      <c r="Q1094" s="61"/>
      <c r="R1094" s="61"/>
      <c r="S1094" s="61"/>
      <c r="T1094" s="61"/>
      <c r="U1094" s="61"/>
      <c r="V1094" s="61"/>
      <c r="W1094" s="61"/>
      <c r="X1094" s="61"/>
      <c r="Y1094" s="61"/>
      <c r="Z1094" s="61"/>
    </row>
    <row r="1095" ht="15.75" customHeight="1">
      <c r="A1095" s="61"/>
      <c r="B1095" s="61"/>
      <c r="C1095" s="61"/>
      <c r="D1095" s="61"/>
      <c r="E1095" s="61"/>
      <c r="F1095" s="61"/>
      <c r="G1095" s="61" t="str">
        <f>IFERROR(__xludf.DUMMYFUNCTION("""COMPUTED_VALUE"""),"")</f>
        <v/>
      </c>
      <c r="H1095" s="63"/>
      <c r="I1095" s="61"/>
      <c r="J1095" s="61"/>
      <c r="K1095" s="61"/>
      <c r="L1095" s="61"/>
      <c r="M1095" s="61"/>
      <c r="N1095" s="61"/>
      <c r="O1095" s="61"/>
      <c r="P1095" s="61"/>
      <c r="Q1095" s="61"/>
      <c r="R1095" s="61"/>
      <c r="S1095" s="61"/>
      <c r="T1095" s="61"/>
      <c r="U1095" s="61"/>
      <c r="V1095" s="61"/>
      <c r="W1095" s="61"/>
      <c r="X1095" s="61"/>
      <c r="Y1095" s="61"/>
      <c r="Z1095" s="61"/>
    </row>
    <row r="1096" ht="15.75" customHeight="1">
      <c r="A1096" s="61"/>
      <c r="B1096" s="61"/>
      <c r="C1096" s="61"/>
      <c r="D1096" s="61"/>
      <c r="E1096" s="61"/>
      <c r="F1096" s="61"/>
      <c r="G1096" s="61" t="str">
        <f>IFERROR(__xludf.DUMMYFUNCTION("""COMPUTED_VALUE"""),"")</f>
        <v/>
      </c>
      <c r="H1096" s="63"/>
      <c r="I1096" s="61"/>
      <c r="J1096" s="61"/>
      <c r="K1096" s="61"/>
      <c r="L1096" s="61"/>
      <c r="M1096" s="61"/>
      <c r="N1096" s="61"/>
      <c r="O1096" s="61"/>
      <c r="P1096" s="61"/>
      <c r="Q1096" s="61"/>
      <c r="R1096" s="61"/>
      <c r="S1096" s="61"/>
      <c r="T1096" s="61"/>
      <c r="U1096" s="61"/>
      <c r="V1096" s="61"/>
      <c r="W1096" s="61"/>
      <c r="X1096" s="61"/>
      <c r="Y1096" s="61"/>
      <c r="Z1096" s="61"/>
    </row>
    <row r="1097" ht="15.75" customHeight="1">
      <c r="A1097" s="61"/>
      <c r="B1097" s="61"/>
      <c r="C1097" s="61"/>
      <c r="D1097" s="61"/>
      <c r="E1097" s="61"/>
      <c r="F1097" s="61"/>
      <c r="G1097" s="61" t="str">
        <f>IFERROR(__xludf.DUMMYFUNCTION("""COMPUTED_VALUE"""),"")</f>
        <v/>
      </c>
      <c r="H1097" s="63"/>
      <c r="I1097" s="61"/>
      <c r="J1097" s="61"/>
      <c r="K1097" s="61"/>
      <c r="L1097" s="61"/>
      <c r="M1097" s="61"/>
      <c r="N1097" s="61"/>
      <c r="O1097" s="61"/>
      <c r="P1097" s="61"/>
      <c r="Q1097" s="61"/>
      <c r="R1097" s="61"/>
      <c r="S1097" s="61"/>
      <c r="T1097" s="61"/>
      <c r="U1097" s="61"/>
      <c r="V1097" s="61"/>
      <c r="W1097" s="61"/>
      <c r="X1097" s="61"/>
      <c r="Y1097" s="61"/>
      <c r="Z1097" s="61"/>
    </row>
    <row r="1098" ht="15.75" customHeight="1">
      <c r="A1098" s="61"/>
      <c r="B1098" s="61"/>
      <c r="C1098" s="61"/>
      <c r="D1098" s="61"/>
      <c r="E1098" s="61"/>
      <c r="F1098" s="61"/>
      <c r="G1098" s="61" t="str">
        <f>IFERROR(__xludf.DUMMYFUNCTION("""COMPUTED_VALUE"""),"")</f>
        <v/>
      </c>
      <c r="H1098" s="63"/>
      <c r="I1098" s="61"/>
      <c r="J1098" s="61"/>
      <c r="K1098" s="61"/>
      <c r="L1098" s="61"/>
      <c r="M1098" s="61"/>
      <c r="N1098" s="61"/>
      <c r="O1098" s="61"/>
      <c r="P1098" s="61"/>
      <c r="Q1098" s="61"/>
      <c r="R1098" s="61"/>
      <c r="S1098" s="61"/>
      <c r="T1098" s="61"/>
      <c r="U1098" s="61"/>
      <c r="V1098" s="61"/>
      <c r="W1098" s="61"/>
      <c r="X1098" s="61"/>
      <c r="Y1098" s="61"/>
      <c r="Z1098" s="61"/>
    </row>
    <row r="1099" ht="15.75" customHeight="1">
      <c r="A1099" s="61"/>
      <c r="B1099" s="61"/>
      <c r="C1099" s="61"/>
      <c r="D1099" s="61"/>
      <c r="E1099" s="61"/>
      <c r="F1099" s="61"/>
      <c r="G1099" s="61" t="str">
        <f>IFERROR(__xludf.DUMMYFUNCTION("""COMPUTED_VALUE"""),"")</f>
        <v/>
      </c>
      <c r="H1099" s="63"/>
      <c r="I1099" s="61"/>
      <c r="J1099" s="61"/>
      <c r="K1099" s="61"/>
      <c r="L1099" s="61"/>
      <c r="M1099" s="61"/>
      <c r="N1099" s="61"/>
      <c r="O1099" s="61"/>
      <c r="P1099" s="61"/>
      <c r="Q1099" s="61"/>
      <c r="R1099" s="61"/>
      <c r="S1099" s="61"/>
      <c r="T1099" s="61"/>
      <c r="U1099" s="61"/>
      <c r="V1099" s="61"/>
      <c r="W1099" s="61"/>
      <c r="X1099" s="61"/>
      <c r="Y1099" s="61"/>
      <c r="Z1099" s="61"/>
    </row>
    <row r="1100" ht="15.75" customHeight="1">
      <c r="A1100" s="61"/>
      <c r="B1100" s="61"/>
      <c r="C1100" s="61"/>
      <c r="D1100" s="61"/>
      <c r="E1100" s="61"/>
      <c r="F1100" s="61"/>
      <c r="G1100" s="61" t="str">
        <f>IFERROR(__xludf.DUMMYFUNCTION("""COMPUTED_VALUE"""),"")</f>
        <v/>
      </c>
      <c r="H1100" s="63"/>
      <c r="I1100" s="61"/>
      <c r="J1100" s="61"/>
      <c r="K1100" s="61"/>
      <c r="L1100" s="61"/>
      <c r="M1100" s="61"/>
      <c r="N1100" s="61"/>
      <c r="O1100" s="61"/>
      <c r="P1100" s="61"/>
      <c r="Q1100" s="61"/>
      <c r="R1100" s="61"/>
      <c r="S1100" s="61"/>
      <c r="T1100" s="61"/>
      <c r="U1100" s="61"/>
      <c r="V1100" s="61"/>
      <c r="W1100" s="61"/>
      <c r="X1100" s="61"/>
      <c r="Y1100" s="61"/>
      <c r="Z1100" s="61"/>
    </row>
    <row r="1101" ht="15.75" customHeight="1">
      <c r="A1101" s="61"/>
      <c r="B1101" s="61"/>
      <c r="C1101" s="61"/>
      <c r="D1101" s="61"/>
      <c r="E1101" s="61"/>
      <c r="F1101" s="61"/>
      <c r="G1101" s="61" t="str">
        <f>IFERROR(__xludf.DUMMYFUNCTION("""COMPUTED_VALUE"""),"")</f>
        <v/>
      </c>
      <c r="H1101" s="63"/>
      <c r="I1101" s="61"/>
      <c r="J1101" s="61"/>
      <c r="K1101" s="61"/>
      <c r="L1101" s="61"/>
      <c r="M1101" s="61"/>
      <c r="N1101" s="61"/>
      <c r="O1101" s="61"/>
      <c r="P1101" s="61"/>
      <c r="Q1101" s="61"/>
      <c r="R1101" s="61"/>
      <c r="S1101" s="61"/>
      <c r="T1101" s="61"/>
      <c r="U1101" s="61"/>
      <c r="V1101" s="61"/>
      <c r="W1101" s="61"/>
      <c r="X1101" s="61"/>
      <c r="Y1101" s="61"/>
      <c r="Z1101" s="61"/>
    </row>
    <row r="1102" ht="15.75" customHeight="1">
      <c r="A1102" s="61"/>
      <c r="B1102" s="61"/>
      <c r="C1102" s="61"/>
      <c r="D1102" s="61"/>
      <c r="E1102" s="61"/>
      <c r="F1102" s="61"/>
      <c r="G1102" s="61" t="str">
        <f>IFERROR(__xludf.DUMMYFUNCTION("""COMPUTED_VALUE"""),"")</f>
        <v/>
      </c>
      <c r="H1102" s="63"/>
      <c r="I1102" s="61"/>
      <c r="J1102" s="61"/>
      <c r="K1102" s="61"/>
      <c r="L1102" s="61"/>
      <c r="M1102" s="61"/>
      <c r="N1102" s="61"/>
      <c r="O1102" s="61"/>
      <c r="P1102" s="61"/>
      <c r="Q1102" s="61"/>
      <c r="R1102" s="61"/>
      <c r="S1102" s="61"/>
      <c r="T1102" s="61"/>
      <c r="U1102" s="61"/>
      <c r="V1102" s="61"/>
      <c r="W1102" s="61"/>
      <c r="X1102" s="61"/>
      <c r="Y1102" s="61"/>
      <c r="Z1102" s="61"/>
    </row>
    <row r="1103" ht="15.75" customHeight="1">
      <c r="A1103" s="61"/>
      <c r="B1103" s="61"/>
      <c r="C1103" s="61"/>
      <c r="D1103" s="61"/>
      <c r="E1103" s="61"/>
      <c r="F1103" s="61"/>
      <c r="G1103" s="61" t="str">
        <f>IFERROR(__xludf.DUMMYFUNCTION("""COMPUTED_VALUE"""),"")</f>
        <v/>
      </c>
      <c r="H1103" s="63"/>
      <c r="I1103" s="61"/>
      <c r="J1103" s="61"/>
      <c r="K1103" s="61"/>
      <c r="L1103" s="61"/>
      <c r="M1103" s="61"/>
      <c r="N1103" s="61"/>
      <c r="O1103" s="61"/>
      <c r="P1103" s="61"/>
      <c r="Q1103" s="61"/>
      <c r="R1103" s="61"/>
      <c r="S1103" s="61"/>
      <c r="T1103" s="61"/>
      <c r="U1103" s="61"/>
      <c r="V1103" s="61"/>
      <c r="W1103" s="61"/>
      <c r="X1103" s="61"/>
      <c r="Y1103" s="61"/>
      <c r="Z1103" s="61"/>
    </row>
    <row r="1104" ht="15.75" customHeight="1">
      <c r="A1104" s="61"/>
      <c r="B1104" s="61"/>
      <c r="C1104" s="61"/>
      <c r="D1104" s="61"/>
      <c r="E1104" s="61"/>
      <c r="F1104" s="61"/>
      <c r="G1104" s="61" t="str">
        <f>IFERROR(__xludf.DUMMYFUNCTION("""COMPUTED_VALUE"""),"")</f>
        <v/>
      </c>
      <c r="H1104" s="63"/>
      <c r="I1104" s="61"/>
      <c r="J1104" s="61"/>
      <c r="K1104" s="61"/>
      <c r="L1104" s="61"/>
      <c r="M1104" s="61"/>
      <c r="N1104" s="61"/>
      <c r="O1104" s="61"/>
      <c r="P1104" s="61"/>
      <c r="Q1104" s="61"/>
      <c r="R1104" s="61"/>
      <c r="S1104" s="61"/>
      <c r="T1104" s="61"/>
      <c r="U1104" s="61"/>
      <c r="V1104" s="61"/>
      <c r="W1104" s="61"/>
      <c r="X1104" s="61"/>
      <c r="Y1104" s="61"/>
      <c r="Z1104" s="61"/>
    </row>
    <row r="1105" ht="15.75" customHeight="1">
      <c r="A1105" s="61"/>
      <c r="B1105" s="61"/>
      <c r="C1105" s="61"/>
      <c r="D1105" s="61"/>
      <c r="E1105" s="61"/>
      <c r="F1105" s="61"/>
      <c r="G1105" s="61" t="str">
        <f>IFERROR(__xludf.DUMMYFUNCTION("""COMPUTED_VALUE"""),"")</f>
        <v/>
      </c>
      <c r="H1105" s="63"/>
      <c r="I1105" s="61"/>
      <c r="J1105" s="61"/>
      <c r="K1105" s="61"/>
      <c r="L1105" s="61"/>
      <c r="M1105" s="61"/>
      <c r="N1105" s="61"/>
      <c r="O1105" s="61"/>
      <c r="P1105" s="61"/>
      <c r="Q1105" s="61"/>
      <c r="R1105" s="61"/>
      <c r="S1105" s="61"/>
      <c r="T1105" s="61"/>
      <c r="U1105" s="61"/>
      <c r="V1105" s="61"/>
      <c r="W1105" s="61"/>
      <c r="X1105" s="61"/>
      <c r="Y1105" s="61"/>
      <c r="Z1105" s="61"/>
    </row>
    <row r="1106" ht="15.75" customHeight="1">
      <c r="A1106" s="61"/>
      <c r="B1106" s="61"/>
      <c r="C1106" s="61"/>
      <c r="D1106" s="61"/>
      <c r="E1106" s="61"/>
      <c r="F1106" s="61"/>
      <c r="G1106" s="61" t="str">
        <f>IFERROR(__xludf.DUMMYFUNCTION("""COMPUTED_VALUE"""),"")</f>
        <v/>
      </c>
      <c r="H1106" s="63"/>
      <c r="I1106" s="61"/>
      <c r="J1106" s="61"/>
      <c r="K1106" s="61"/>
      <c r="L1106" s="61"/>
      <c r="M1106" s="61"/>
      <c r="N1106" s="61"/>
      <c r="O1106" s="61"/>
      <c r="P1106" s="61"/>
      <c r="Q1106" s="61"/>
      <c r="R1106" s="61"/>
      <c r="S1106" s="61"/>
      <c r="T1106" s="61"/>
      <c r="U1106" s="61"/>
      <c r="V1106" s="61"/>
      <c r="W1106" s="61"/>
      <c r="X1106" s="61"/>
      <c r="Y1106" s="61"/>
      <c r="Z1106" s="61"/>
    </row>
    <row r="1107" ht="15.75" customHeight="1">
      <c r="A1107" s="61"/>
      <c r="B1107" s="61"/>
      <c r="C1107" s="61"/>
      <c r="D1107" s="61"/>
      <c r="E1107" s="61"/>
      <c r="F1107" s="61"/>
      <c r="G1107" s="61" t="str">
        <f>IFERROR(__xludf.DUMMYFUNCTION("""COMPUTED_VALUE"""),"")</f>
        <v/>
      </c>
      <c r="H1107" s="63"/>
      <c r="I1107" s="61"/>
      <c r="J1107" s="61"/>
      <c r="K1107" s="61"/>
      <c r="L1107" s="61"/>
      <c r="M1107" s="61"/>
      <c r="N1107" s="61"/>
      <c r="O1107" s="61"/>
      <c r="P1107" s="61"/>
      <c r="Q1107" s="61"/>
      <c r="R1107" s="61"/>
      <c r="S1107" s="61"/>
      <c r="T1107" s="61"/>
      <c r="U1107" s="61"/>
      <c r="V1107" s="61"/>
      <c r="W1107" s="61"/>
      <c r="X1107" s="61"/>
      <c r="Y1107" s="61"/>
      <c r="Z1107" s="61"/>
    </row>
    <row r="1108" ht="15.75" customHeight="1">
      <c r="A1108" s="61"/>
      <c r="B1108" s="61"/>
      <c r="C1108" s="61"/>
      <c r="D1108" s="61"/>
      <c r="E1108" s="61"/>
      <c r="F1108" s="61"/>
      <c r="G1108" s="61" t="str">
        <f>IFERROR(__xludf.DUMMYFUNCTION("""COMPUTED_VALUE"""),"")</f>
        <v/>
      </c>
      <c r="H1108" s="63"/>
      <c r="I1108" s="61"/>
      <c r="J1108" s="61"/>
      <c r="K1108" s="61"/>
      <c r="L1108" s="61"/>
      <c r="M1108" s="61"/>
      <c r="N1108" s="61"/>
      <c r="O1108" s="61"/>
      <c r="P1108" s="61"/>
      <c r="Q1108" s="61"/>
      <c r="R1108" s="61"/>
      <c r="S1108" s="61"/>
      <c r="T1108" s="61"/>
      <c r="U1108" s="61"/>
      <c r="V1108" s="61"/>
      <c r="W1108" s="61"/>
      <c r="X1108" s="61"/>
      <c r="Y1108" s="61"/>
      <c r="Z1108" s="61"/>
    </row>
    <row r="1109" ht="15.75" customHeight="1">
      <c r="A1109" s="61"/>
      <c r="B1109" s="61"/>
      <c r="C1109" s="61"/>
      <c r="D1109" s="61"/>
      <c r="E1109" s="61"/>
      <c r="F1109" s="61"/>
      <c r="G1109" s="61" t="str">
        <f>IFERROR(__xludf.DUMMYFUNCTION("""COMPUTED_VALUE"""),"")</f>
        <v/>
      </c>
      <c r="H1109" s="63"/>
      <c r="I1109" s="61"/>
      <c r="J1109" s="61"/>
      <c r="K1109" s="61"/>
      <c r="L1109" s="61"/>
      <c r="M1109" s="61"/>
      <c r="N1109" s="61"/>
      <c r="O1109" s="61"/>
      <c r="P1109" s="61"/>
      <c r="Q1109" s="61"/>
      <c r="R1109" s="61"/>
      <c r="S1109" s="61"/>
      <c r="T1109" s="61"/>
      <c r="U1109" s="61"/>
      <c r="V1109" s="61"/>
      <c r="W1109" s="61"/>
      <c r="X1109" s="61"/>
      <c r="Y1109" s="61"/>
      <c r="Z1109" s="61"/>
    </row>
    <row r="1110" ht="15.75" customHeight="1">
      <c r="A1110" s="61"/>
      <c r="B1110" s="61"/>
      <c r="C1110" s="61"/>
      <c r="D1110" s="61"/>
      <c r="E1110" s="61"/>
      <c r="F1110" s="61"/>
      <c r="G1110" s="61" t="str">
        <f>IFERROR(__xludf.DUMMYFUNCTION("""COMPUTED_VALUE"""),"")</f>
        <v/>
      </c>
      <c r="H1110" s="63"/>
      <c r="I1110" s="61"/>
      <c r="J1110" s="61"/>
      <c r="K1110" s="61"/>
      <c r="L1110" s="61"/>
      <c r="M1110" s="61"/>
      <c r="N1110" s="61"/>
      <c r="O1110" s="61"/>
      <c r="P1110" s="61"/>
      <c r="Q1110" s="61"/>
      <c r="R1110" s="61"/>
      <c r="S1110" s="61"/>
      <c r="T1110" s="61"/>
      <c r="U1110" s="61"/>
      <c r="V1110" s="61"/>
      <c r="W1110" s="61"/>
      <c r="X1110" s="61"/>
      <c r="Y1110" s="61"/>
      <c r="Z1110" s="61"/>
    </row>
    <row r="1111" ht="15.75" customHeight="1">
      <c r="A1111" s="61"/>
      <c r="B1111" s="61"/>
      <c r="C1111" s="61"/>
      <c r="D1111" s="61"/>
      <c r="E1111" s="61"/>
      <c r="F1111" s="61"/>
      <c r="G1111" s="61" t="str">
        <f>IFERROR(__xludf.DUMMYFUNCTION("""COMPUTED_VALUE"""),"")</f>
        <v/>
      </c>
      <c r="H1111" s="63"/>
      <c r="I1111" s="61"/>
      <c r="J1111" s="61"/>
      <c r="K1111" s="61"/>
      <c r="L1111" s="61"/>
      <c r="M1111" s="61"/>
      <c r="N1111" s="61"/>
      <c r="O1111" s="61"/>
      <c r="P1111" s="61"/>
      <c r="Q1111" s="61"/>
      <c r="R1111" s="61"/>
      <c r="S1111" s="61"/>
      <c r="T1111" s="61"/>
      <c r="U1111" s="61"/>
      <c r="V1111" s="61"/>
      <c r="W1111" s="61"/>
      <c r="X1111" s="61"/>
      <c r="Y1111" s="61"/>
      <c r="Z1111" s="61"/>
    </row>
    <row r="1112" ht="15.75" customHeight="1">
      <c r="A1112" s="61"/>
      <c r="B1112" s="61"/>
      <c r="C1112" s="61"/>
      <c r="D1112" s="61"/>
      <c r="E1112" s="61"/>
      <c r="F1112" s="61"/>
      <c r="G1112" s="61" t="str">
        <f>IFERROR(__xludf.DUMMYFUNCTION("""COMPUTED_VALUE"""),"")</f>
        <v/>
      </c>
      <c r="H1112" s="63"/>
      <c r="I1112" s="61"/>
      <c r="J1112" s="61"/>
      <c r="K1112" s="61"/>
      <c r="L1112" s="61"/>
      <c r="M1112" s="61"/>
      <c r="N1112" s="61"/>
      <c r="O1112" s="61"/>
      <c r="P1112" s="61"/>
      <c r="Q1112" s="61"/>
      <c r="R1112" s="61"/>
      <c r="S1112" s="61"/>
      <c r="T1112" s="61"/>
      <c r="U1112" s="61"/>
      <c r="V1112" s="61"/>
      <c r="W1112" s="61"/>
      <c r="X1112" s="61"/>
      <c r="Y1112" s="61"/>
      <c r="Z1112" s="61"/>
    </row>
    <row r="1113" ht="15.75" customHeight="1">
      <c r="A1113" s="61"/>
      <c r="B1113" s="61"/>
      <c r="C1113" s="61"/>
      <c r="D1113" s="61"/>
      <c r="E1113" s="61"/>
      <c r="F1113" s="61"/>
      <c r="G1113" s="61" t="str">
        <f>IFERROR(__xludf.DUMMYFUNCTION("""COMPUTED_VALUE"""),"")</f>
        <v/>
      </c>
      <c r="H1113" s="63"/>
      <c r="I1113" s="61"/>
      <c r="J1113" s="61"/>
      <c r="K1113" s="61"/>
      <c r="L1113" s="61"/>
      <c r="M1113" s="61"/>
      <c r="N1113" s="61"/>
      <c r="O1113" s="61"/>
      <c r="P1113" s="61"/>
      <c r="Q1113" s="61"/>
      <c r="R1113" s="61"/>
      <c r="S1113" s="61"/>
      <c r="T1113" s="61"/>
      <c r="U1113" s="61"/>
      <c r="V1113" s="61"/>
      <c r="W1113" s="61"/>
      <c r="X1113" s="61"/>
      <c r="Y1113" s="61"/>
      <c r="Z1113" s="61"/>
    </row>
    <row r="1114" ht="15.75" customHeight="1">
      <c r="A1114" s="61"/>
      <c r="B1114" s="61"/>
      <c r="C1114" s="61"/>
      <c r="D1114" s="61"/>
      <c r="E1114" s="61"/>
      <c r="F1114" s="61"/>
      <c r="G1114" s="61" t="str">
        <f>IFERROR(__xludf.DUMMYFUNCTION("""COMPUTED_VALUE"""),"")</f>
        <v/>
      </c>
      <c r="H1114" s="63"/>
      <c r="I1114" s="61"/>
      <c r="J1114" s="61"/>
      <c r="K1114" s="61"/>
      <c r="L1114" s="61"/>
      <c r="M1114" s="61"/>
      <c r="N1114" s="61"/>
      <c r="O1114" s="61"/>
      <c r="P1114" s="61"/>
      <c r="Q1114" s="61"/>
      <c r="R1114" s="61"/>
      <c r="S1114" s="61"/>
      <c r="T1114" s="61"/>
      <c r="U1114" s="61"/>
      <c r="V1114" s="61"/>
      <c r="W1114" s="61"/>
      <c r="X1114" s="61"/>
      <c r="Y1114" s="61"/>
      <c r="Z1114" s="61"/>
    </row>
    <row r="1115" ht="15.75" customHeight="1">
      <c r="A1115" s="61"/>
      <c r="B1115" s="61"/>
      <c r="C1115" s="61"/>
      <c r="D1115" s="61"/>
      <c r="E1115" s="61"/>
      <c r="F1115" s="61"/>
      <c r="G1115" s="61" t="str">
        <f>IFERROR(__xludf.DUMMYFUNCTION("""COMPUTED_VALUE"""),"")</f>
        <v/>
      </c>
      <c r="H1115" s="63"/>
      <c r="I1115" s="61"/>
      <c r="J1115" s="61"/>
      <c r="K1115" s="61"/>
      <c r="L1115" s="61"/>
      <c r="M1115" s="61"/>
      <c r="N1115" s="61"/>
      <c r="O1115" s="61"/>
      <c r="P1115" s="61"/>
      <c r="Q1115" s="61"/>
      <c r="R1115" s="61"/>
      <c r="S1115" s="61"/>
      <c r="T1115" s="61"/>
      <c r="U1115" s="61"/>
      <c r="V1115" s="61"/>
      <c r="W1115" s="61"/>
      <c r="X1115" s="61"/>
      <c r="Y1115" s="61"/>
      <c r="Z1115" s="61"/>
    </row>
    <row r="1116" ht="15.75" customHeight="1">
      <c r="A1116" s="61"/>
      <c r="B1116" s="61"/>
      <c r="C1116" s="61"/>
      <c r="D1116" s="61"/>
      <c r="E1116" s="61"/>
      <c r="F1116" s="61"/>
      <c r="G1116" s="61" t="str">
        <f>IFERROR(__xludf.DUMMYFUNCTION("""COMPUTED_VALUE"""),"")</f>
        <v/>
      </c>
      <c r="H1116" s="63"/>
      <c r="I1116" s="61"/>
      <c r="J1116" s="61"/>
      <c r="K1116" s="61"/>
      <c r="L1116" s="61"/>
      <c r="M1116" s="61"/>
      <c r="N1116" s="61"/>
      <c r="O1116" s="61"/>
      <c r="P1116" s="61"/>
      <c r="Q1116" s="61"/>
      <c r="R1116" s="61"/>
      <c r="S1116" s="61"/>
      <c r="T1116" s="61"/>
      <c r="U1116" s="61"/>
      <c r="V1116" s="61"/>
      <c r="W1116" s="61"/>
      <c r="X1116" s="61"/>
      <c r="Y1116" s="61"/>
      <c r="Z1116" s="61"/>
    </row>
    <row r="1117" ht="15.75" customHeight="1">
      <c r="A1117" s="61"/>
      <c r="B1117" s="61"/>
      <c r="C1117" s="61"/>
      <c r="D1117" s="61"/>
      <c r="E1117" s="61"/>
      <c r="F1117" s="61"/>
      <c r="G1117" s="61" t="str">
        <f>IFERROR(__xludf.DUMMYFUNCTION("""COMPUTED_VALUE"""),"")</f>
        <v/>
      </c>
      <c r="H1117" s="63"/>
      <c r="I1117" s="61"/>
      <c r="J1117" s="61"/>
      <c r="K1117" s="61"/>
      <c r="L1117" s="61"/>
      <c r="M1117" s="61"/>
      <c r="N1117" s="61"/>
      <c r="O1117" s="61"/>
      <c r="P1117" s="61"/>
      <c r="Q1117" s="61"/>
      <c r="R1117" s="61"/>
      <c r="S1117" s="61"/>
      <c r="T1117" s="61"/>
      <c r="U1117" s="61"/>
      <c r="V1117" s="61"/>
      <c r="W1117" s="61"/>
      <c r="X1117" s="61"/>
      <c r="Y1117" s="61"/>
      <c r="Z1117" s="61"/>
    </row>
    <row r="1118" ht="15.75" customHeight="1">
      <c r="A1118" s="61"/>
      <c r="B1118" s="61"/>
      <c r="C1118" s="61"/>
      <c r="D1118" s="61"/>
      <c r="E1118" s="61"/>
      <c r="F1118" s="61"/>
      <c r="G1118" s="61" t="str">
        <f>IFERROR(__xludf.DUMMYFUNCTION("""COMPUTED_VALUE"""),"")</f>
        <v/>
      </c>
      <c r="H1118" s="63"/>
      <c r="I1118" s="61"/>
      <c r="J1118" s="61"/>
      <c r="K1118" s="61"/>
      <c r="L1118" s="61"/>
      <c r="M1118" s="61"/>
      <c r="N1118" s="61"/>
      <c r="O1118" s="61"/>
      <c r="P1118" s="61"/>
      <c r="Q1118" s="61"/>
      <c r="R1118" s="61"/>
      <c r="S1118" s="61"/>
      <c r="T1118" s="61"/>
      <c r="U1118" s="61"/>
      <c r="V1118" s="61"/>
      <c r="W1118" s="61"/>
      <c r="X1118" s="61"/>
      <c r="Y1118" s="61"/>
      <c r="Z1118" s="61"/>
    </row>
    <row r="1119" ht="15.75" customHeight="1">
      <c r="A1119" s="61"/>
      <c r="B1119" s="61"/>
      <c r="C1119" s="61"/>
      <c r="D1119" s="61"/>
      <c r="E1119" s="61"/>
      <c r="F1119" s="61"/>
      <c r="G1119" s="61" t="str">
        <f>IFERROR(__xludf.DUMMYFUNCTION("""COMPUTED_VALUE"""),"")</f>
        <v/>
      </c>
      <c r="H1119" s="63"/>
      <c r="I1119" s="61"/>
      <c r="J1119" s="61"/>
      <c r="K1119" s="61"/>
      <c r="L1119" s="61"/>
      <c r="M1119" s="61"/>
      <c r="N1119" s="61"/>
      <c r="O1119" s="61"/>
      <c r="P1119" s="61"/>
      <c r="Q1119" s="61"/>
      <c r="R1119" s="61"/>
      <c r="S1119" s="61"/>
      <c r="T1119" s="61"/>
      <c r="U1119" s="61"/>
      <c r="V1119" s="61"/>
      <c r="W1119" s="61"/>
      <c r="X1119" s="61"/>
      <c r="Y1119" s="61"/>
      <c r="Z1119" s="61"/>
    </row>
    <row r="1120" ht="15.75" customHeight="1">
      <c r="A1120" s="61"/>
      <c r="B1120" s="61"/>
      <c r="C1120" s="61"/>
      <c r="D1120" s="61"/>
      <c r="E1120" s="61"/>
      <c r="F1120" s="61"/>
      <c r="G1120" s="61" t="str">
        <f>IFERROR(__xludf.DUMMYFUNCTION("""COMPUTED_VALUE"""),"")</f>
        <v/>
      </c>
      <c r="H1120" s="63"/>
      <c r="I1120" s="61"/>
      <c r="J1120" s="61"/>
      <c r="K1120" s="61"/>
      <c r="L1120" s="61"/>
      <c r="M1120" s="61"/>
      <c r="N1120" s="61"/>
      <c r="O1120" s="61"/>
      <c r="P1120" s="61"/>
      <c r="Q1120" s="61"/>
      <c r="R1120" s="61"/>
      <c r="S1120" s="61"/>
      <c r="T1120" s="61"/>
      <c r="U1120" s="61"/>
      <c r="V1120" s="61"/>
      <c r="W1120" s="61"/>
      <c r="X1120" s="61"/>
      <c r="Y1120" s="61"/>
      <c r="Z1120" s="61"/>
    </row>
    <row r="1121" ht="15.75" customHeight="1">
      <c r="A1121" s="61"/>
      <c r="B1121" s="61"/>
      <c r="C1121" s="61"/>
      <c r="D1121" s="61"/>
      <c r="E1121" s="61"/>
      <c r="F1121" s="61"/>
      <c r="G1121" s="61" t="str">
        <f>IFERROR(__xludf.DUMMYFUNCTION("""COMPUTED_VALUE"""),"")</f>
        <v/>
      </c>
      <c r="H1121" s="63"/>
      <c r="I1121" s="61"/>
      <c r="J1121" s="61"/>
      <c r="K1121" s="61"/>
      <c r="L1121" s="61"/>
      <c r="M1121" s="61"/>
      <c r="N1121" s="61"/>
      <c r="O1121" s="61"/>
      <c r="P1121" s="61"/>
      <c r="Q1121" s="61"/>
      <c r="R1121" s="61"/>
      <c r="S1121" s="61"/>
      <c r="T1121" s="61"/>
      <c r="U1121" s="61"/>
      <c r="V1121" s="61"/>
      <c r="W1121" s="61"/>
      <c r="X1121" s="61"/>
      <c r="Y1121" s="61"/>
      <c r="Z1121" s="61"/>
    </row>
    <row r="1122" ht="15.75" customHeight="1">
      <c r="A1122" s="61"/>
      <c r="B1122" s="61"/>
      <c r="C1122" s="61"/>
      <c r="D1122" s="61"/>
      <c r="E1122" s="61"/>
      <c r="F1122" s="61"/>
      <c r="G1122" s="61" t="str">
        <f>IFERROR(__xludf.DUMMYFUNCTION("""COMPUTED_VALUE"""),"")</f>
        <v/>
      </c>
      <c r="H1122" s="63"/>
      <c r="I1122" s="61"/>
      <c r="J1122" s="61"/>
      <c r="K1122" s="61"/>
      <c r="L1122" s="61"/>
      <c r="M1122" s="61"/>
      <c r="N1122" s="61"/>
      <c r="O1122" s="61"/>
      <c r="P1122" s="61"/>
      <c r="Q1122" s="61"/>
      <c r="R1122" s="61"/>
      <c r="S1122" s="61"/>
      <c r="T1122" s="61"/>
      <c r="U1122" s="61"/>
      <c r="V1122" s="61"/>
      <c r="W1122" s="61"/>
      <c r="X1122" s="61"/>
      <c r="Y1122" s="61"/>
      <c r="Z1122" s="61"/>
    </row>
    <row r="1123" ht="15.75" customHeight="1">
      <c r="A1123" s="61"/>
      <c r="B1123" s="61"/>
      <c r="C1123" s="61"/>
      <c r="D1123" s="61"/>
      <c r="E1123" s="61"/>
      <c r="F1123" s="61"/>
      <c r="G1123" s="61" t="str">
        <f>IFERROR(__xludf.DUMMYFUNCTION("""COMPUTED_VALUE"""),"")</f>
        <v/>
      </c>
      <c r="H1123" s="63"/>
      <c r="I1123" s="61"/>
      <c r="J1123" s="61"/>
      <c r="K1123" s="61"/>
      <c r="L1123" s="61"/>
      <c r="M1123" s="61"/>
      <c r="N1123" s="61"/>
      <c r="O1123" s="61"/>
      <c r="P1123" s="61"/>
      <c r="Q1123" s="61"/>
      <c r="R1123" s="61"/>
      <c r="S1123" s="61"/>
      <c r="T1123" s="61"/>
      <c r="U1123" s="61"/>
      <c r="V1123" s="61"/>
      <c r="W1123" s="61"/>
      <c r="X1123" s="61"/>
      <c r="Y1123" s="61"/>
      <c r="Z1123" s="61"/>
    </row>
    <row r="1124" ht="15.75" customHeight="1">
      <c r="A1124" s="61"/>
      <c r="B1124" s="61"/>
      <c r="C1124" s="61"/>
      <c r="D1124" s="61"/>
      <c r="E1124" s="61"/>
      <c r="F1124" s="61"/>
      <c r="G1124" s="61" t="str">
        <f>IFERROR(__xludf.DUMMYFUNCTION("""COMPUTED_VALUE"""),"")</f>
        <v/>
      </c>
      <c r="H1124" s="63"/>
      <c r="I1124" s="61"/>
      <c r="J1124" s="61"/>
      <c r="K1124" s="61"/>
      <c r="L1124" s="61"/>
      <c r="M1124" s="61"/>
      <c r="N1124" s="61"/>
      <c r="O1124" s="61"/>
      <c r="P1124" s="61"/>
      <c r="Q1124" s="61"/>
      <c r="R1124" s="61"/>
      <c r="S1124" s="61"/>
      <c r="T1124" s="61"/>
      <c r="U1124" s="61"/>
      <c r="V1124" s="61"/>
      <c r="W1124" s="61"/>
      <c r="X1124" s="61"/>
      <c r="Y1124" s="61"/>
      <c r="Z1124" s="61"/>
    </row>
    <row r="1125" ht="15.75" customHeight="1">
      <c r="A1125" s="61"/>
      <c r="B1125" s="61"/>
      <c r="C1125" s="61"/>
      <c r="D1125" s="61"/>
      <c r="E1125" s="61"/>
      <c r="F1125" s="61"/>
      <c r="G1125" s="61" t="str">
        <f>IFERROR(__xludf.DUMMYFUNCTION("""COMPUTED_VALUE"""),"")</f>
        <v/>
      </c>
      <c r="H1125" s="63"/>
      <c r="I1125" s="61"/>
      <c r="J1125" s="61"/>
      <c r="K1125" s="61"/>
      <c r="L1125" s="61"/>
      <c r="M1125" s="61"/>
      <c r="N1125" s="61"/>
      <c r="O1125" s="61"/>
      <c r="P1125" s="61"/>
      <c r="Q1125" s="61"/>
      <c r="R1125" s="61"/>
      <c r="S1125" s="61"/>
      <c r="T1125" s="61"/>
      <c r="U1125" s="61"/>
      <c r="V1125" s="61"/>
      <c r="W1125" s="61"/>
      <c r="X1125" s="61"/>
      <c r="Y1125" s="61"/>
      <c r="Z1125" s="61"/>
    </row>
    <row r="1126" ht="15.75" customHeight="1">
      <c r="A1126" s="61"/>
      <c r="B1126" s="61"/>
      <c r="C1126" s="61"/>
      <c r="D1126" s="61"/>
      <c r="E1126" s="61"/>
      <c r="F1126" s="61"/>
      <c r="G1126" s="61" t="str">
        <f>IFERROR(__xludf.DUMMYFUNCTION("""COMPUTED_VALUE"""),"")</f>
        <v/>
      </c>
      <c r="H1126" s="63"/>
      <c r="I1126" s="61"/>
      <c r="J1126" s="61"/>
      <c r="K1126" s="61"/>
      <c r="L1126" s="61"/>
      <c r="M1126" s="61"/>
      <c r="N1126" s="61"/>
      <c r="O1126" s="61"/>
      <c r="P1126" s="61"/>
      <c r="Q1126" s="61"/>
      <c r="R1126" s="61"/>
      <c r="S1126" s="61"/>
      <c r="T1126" s="61"/>
      <c r="U1126" s="61"/>
      <c r="V1126" s="61"/>
      <c r="W1126" s="61"/>
      <c r="X1126" s="61"/>
      <c r="Y1126" s="61"/>
      <c r="Z1126" s="61"/>
    </row>
    <row r="1127" ht="15.75" customHeight="1">
      <c r="A1127" s="61"/>
      <c r="B1127" s="61"/>
      <c r="C1127" s="61"/>
      <c r="D1127" s="61"/>
      <c r="E1127" s="61"/>
      <c r="F1127" s="61"/>
      <c r="G1127" s="61" t="str">
        <f>IFERROR(__xludf.DUMMYFUNCTION("""COMPUTED_VALUE"""),"")</f>
        <v/>
      </c>
      <c r="H1127" s="63"/>
      <c r="I1127" s="61"/>
      <c r="J1127" s="61"/>
      <c r="K1127" s="61"/>
      <c r="L1127" s="61"/>
      <c r="M1127" s="61"/>
      <c r="N1127" s="61"/>
      <c r="O1127" s="61"/>
      <c r="P1127" s="61"/>
      <c r="Q1127" s="61"/>
      <c r="R1127" s="61"/>
      <c r="S1127" s="61"/>
      <c r="T1127" s="61"/>
      <c r="U1127" s="61"/>
      <c r="V1127" s="61"/>
      <c r="W1127" s="61"/>
      <c r="X1127" s="61"/>
      <c r="Y1127" s="61"/>
      <c r="Z1127" s="61"/>
    </row>
    <row r="1128" ht="15.75" customHeight="1">
      <c r="A1128" s="61"/>
      <c r="B1128" s="61"/>
      <c r="C1128" s="61"/>
      <c r="D1128" s="61"/>
      <c r="E1128" s="61"/>
      <c r="F1128" s="61"/>
      <c r="G1128" s="61" t="str">
        <f>IFERROR(__xludf.DUMMYFUNCTION("""COMPUTED_VALUE"""),"")</f>
        <v/>
      </c>
      <c r="H1128" s="63"/>
      <c r="I1128" s="61"/>
      <c r="J1128" s="61"/>
      <c r="K1128" s="61"/>
      <c r="L1128" s="61"/>
      <c r="M1128" s="61"/>
      <c r="N1128" s="61"/>
      <c r="O1128" s="61"/>
      <c r="P1128" s="61"/>
      <c r="Q1128" s="61"/>
      <c r="R1128" s="61"/>
      <c r="S1128" s="61"/>
      <c r="T1128" s="61"/>
      <c r="U1128" s="61"/>
      <c r="V1128" s="61"/>
      <c r="W1128" s="61"/>
      <c r="X1128" s="61"/>
      <c r="Y1128" s="61"/>
      <c r="Z1128" s="61"/>
    </row>
    <row r="1129" ht="15.75" customHeight="1">
      <c r="A1129" s="61"/>
      <c r="B1129" s="61"/>
      <c r="C1129" s="61"/>
      <c r="D1129" s="61"/>
      <c r="E1129" s="61"/>
      <c r="F1129" s="61"/>
      <c r="G1129" s="61" t="str">
        <f>IFERROR(__xludf.DUMMYFUNCTION("""COMPUTED_VALUE"""),"")</f>
        <v/>
      </c>
      <c r="H1129" s="63"/>
      <c r="I1129" s="61"/>
      <c r="J1129" s="61"/>
      <c r="K1129" s="61"/>
      <c r="L1129" s="61"/>
      <c r="M1129" s="61"/>
      <c r="N1129" s="61"/>
      <c r="O1129" s="61"/>
      <c r="P1129" s="61"/>
      <c r="Q1129" s="61"/>
      <c r="R1129" s="61"/>
      <c r="S1129" s="61"/>
      <c r="T1129" s="61"/>
      <c r="U1129" s="61"/>
      <c r="V1129" s="61"/>
      <c r="W1129" s="61"/>
      <c r="X1129" s="61"/>
      <c r="Y1129" s="61"/>
      <c r="Z1129" s="61"/>
    </row>
    <row r="1130" ht="15.75" customHeight="1">
      <c r="A1130" s="61"/>
      <c r="B1130" s="61"/>
      <c r="C1130" s="61"/>
      <c r="D1130" s="61"/>
      <c r="E1130" s="61"/>
      <c r="F1130" s="61"/>
      <c r="G1130" s="61" t="str">
        <f>IFERROR(__xludf.DUMMYFUNCTION("""COMPUTED_VALUE"""),"")</f>
        <v/>
      </c>
      <c r="H1130" s="63"/>
      <c r="I1130" s="61"/>
      <c r="J1130" s="61"/>
      <c r="K1130" s="61"/>
      <c r="L1130" s="61"/>
      <c r="M1130" s="61"/>
      <c r="N1130" s="61"/>
      <c r="O1130" s="61"/>
      <c r="P1130" s="61"/>
      <c r="Q1130" s="61"/>
      <c r="R1130" s="61"/>
      <c r="S1130" s="61"/>
      <c r="T1130" s="61"/>
      <c r="U1130" s="61"/>
      <c r="V1130" s="61"/>
      <c r="W1130" s="61"/>
      <c r="X1130" s="61"/>
      <c r="Y1130" s="61"/>
      <c r="Z1130" s="61"/>
    </row>
    <row r="1131" ht="15.75" customHeight="1">
      <c r="A1131" s="61"/>
      <c r="B1131" s="61"/>
      <c r="C1131" s="61"/>
      <c r="D1131" s="61"/>
      <c r="E1131" s="61"/>
      <c r="F1131" s="61"/>
      <c r="G1131" s="61" t="str">
        <f>IFERROR(__xludf.DUMMYFUNCTION("""COMPUTED_VALUE"""),"")</f>
        <v/>
      </c>
      <c r="H1131" s="63"/>
      <c r="I1131" s="61"/>
      <c r="J1131" s="61"/>
      <c r="K1131" s="61"/>
      <c r="L1131" s="61"/>
      <c r="M1131" s="61"/>
      <c r="N1131" s="61"/>
      <c r="O1131" s="61"/>
      <c r="P1131" s="61"/>
      <c r="Q1131" s="61"/>
      <c r="R1131" s="61"/>
      <c r="S1131" s="61"/>
      <c r="T1131" s="61"/>
      <c r="U1131" s="61"/>
      <c r="V1131" s="61"/>
      <c r="W1131" s="61"/>
      <c r="X1131" s="61"/>
      <c r="Y1131" s="61"/>
      <c r="Z1131" s="61"/>
    </row>
    <row r="1132" ht="15.75" customHeight="1">
      <c r="A1132" s="61"/>
      <c r="B1132" s="61"/>
      <c r="C1132" s="61"/>
      <c r="D1132" s="61"/>
      <c r="E1132" s="61"/>
      <c r="F1132" s="61"/>
      <c r="G1132" s="61" t="str">
        <f>IFERROR(__xludf.DUMMYFUNCTION("""COMPUTED_VALUE"""),"")</f>
        <v/>
      </c>
      <c r="H1132" s="63"/>
      <c r="I1132" s="61"/>
      <c r="J1132" s="61"/>
      <c r="K1132" s="61"/>
      <c r="L1132" s="61"/>
      <c r="M1132" s="61"/>
      <c r="N1132" s="61"/>
      <c r="O1132" s="61"/>
      <c r="P1132" s="61"/>
      <c r="Q1132" s="61"/>
      <c r="R1132" s="61"/>
      <c r="S1132" s="61"/>
      <c r="T1132" s="61"/>
      <c r="U1132" s="61"/>
      <c r="V1132" s="61"/>
      <c r="W1132" s="61"/>
      <c r="X1132" s="61"/>
      <c r="Y1132" s="61"/>
      <c r="Z1132" s="61"/>
    </row>
    <row r="1133" ht="15.75" customHeight="1">
      <c r="A1133" s="61"/>
      <c r="B1133" s="61"/>
      <c r="C1133" s="61"/>
      <c r="D1133" s="61"/>
      <c r="E1133" s="61"/>
      <c r="F1133" s="61"/>
      <c r="G1133" s="61" t="str">
        <f>IFERROR(__xludf.DUMMYFUNCTION("""COMPUTED_VALUE"""),"")</f>
        <v/>
      </c>
      <c r="H1133" s="63"/>
      <c r="I1133" s="61"/>
      <c r="J1133" s="61"/>
      <c r="K1133" s="61"/>
      <c r="L1133" s="61"/>
      <c r="M1133" s="61"/>
      <c r="N1133" s="61"/>
      <c r="O1133" s="61"/>
      <c r="P1133" s="61"/>
      <c r="Q1133" s="61"/>
      <c r="R1133" s="61"/>
      <c r="S1133" s="61"/>
      <c r="T1133" s="61"/>
      <c r="U1133" s="61"/>
      <c r="V1133" s="61"/>
      <c r="W1133" s="61"/>
      <c r="X1133" s="61"/>
      <c r="Y1133" s="61"/>
      <c r="Z1133" s="61"/>
    </row>
    <row r="1134" ht="15.75" customHeight="1">
      <c r="A1134" s="61"/>
      <c r="B1134" s="61"/>
      <c r="C1134" s="61"/>
      <c r="D1134" s="61"/>
      <c r="E1134" s="61"/>
      <c r="F1134" s="61"/>
      <c r="G1134" s="61" t="str">
        <f>IFERROR(__xludf.DUMMYFUNCTION("""COMPUTED_VALUE"""),"")</f>
        <v/>
      </c>
      <c r="H1134" s="63"/>
      <c r="I1134" s="61"/>
      <c r="J1134" s="61"/>
      <c r="K1134" s="61"/>
      <c r="L1134" s="61"/>
      <c r="M1134" s="61"/>
      <c r="N1134" s="61"/>
      <c r="O1134" s="61"/>
      <c r="P1134" s="61"/>
      <c r="Q1134" s="61"/>
      <c r="R1134" s="61"/>
      <c r="S1134" s="61"/>
      <c r="T1134" s="61"/>
      <c r="U1134" s="61"/>
      <c r="V1134" s="61"/>
      <c r="W1134" s="61"/>
      <c r="X1134" s="61"/>
      <c r="Y1134" s="61"/>
      <c r="Z1134" s="61"/>
    </row>
    <row r="1135" ht="15.75" customHeight="1">
      <c r="A1135" s="61"/>
      <c r="B1135" s="61"/>
      <c r="C1135" s="61"/>
      <c r="D1135" s="61"/>
      <c r="E1135" s="61"/>
      <c r="F1135" s="61"/>
      <c r="G1135" s="61" t="str">
        <f>IFERROR(__xludf.DUMMYFUNCTION("""COMPUTED_VALUE"""),"")</f>
        <v/>
      </c>
      <c r="H1135" s="63"/>
      <c r="I1135" s="61"/>
      <c r="J1135" s="61"/>
      <c r="K1135" s="61"/>
      <c r="L1135" s="61"/>
      <c r="M1135" s="61"/>
      <c r="N1135" s="61"/>
      <c r="O1135" s="61"/>
      <c r="P1135" s="61"/>
      <c r="Q1135" s="61"/>
      <c r="R1135" s="61"/>
      <c r="S1135" s="61"/>
      <c r="T1135" s="61"/>
      <c r="U1135" s="61"/>
      <c r="V1135" s="61"/>
      <c r="W1135" s="61"/>
      <c r="X1135" s="61"/>
      <c r="Y1135" s="61"/>
      <c r="Z1135" s="61"/>
    </row>
    <row r="1136" ht="15.75" customHeight="1">
      <c r="A1136" s="61"/>
      <c r="B1136" s="61"/>
      <c r="C1136" s="61"/>
      <c r="D1136" s="61"/>
      <c r="E1136" s="61"/>
      <c r="F1136" s="61"/>
      <c r="G1136" s="61" t="str">
        <f>IFERROR(__xludf.DUMMYFUNCTION("""COMPUTED_VALUE"""),"")</f>
        <v/>
      </c>
      <c r="H1136" s="63"/>
      <c r="I1136" s="61"/>
      <c r="J1136" s="61"/>
      <c r="K1136" s="61"/>
      <c r="L1136" s="61"/>
      <c r="M1136" s="61"/>
      <c r="N1136" s="61"/>
      <c r="O1136" s="61"/>
      <c r="P1136" s="61"/>
      <c r="Q1136" s="61"/>
      <c r="R1136" s="61"/>
      <c r="S1136" s="61"/>
      <c r="T1136" s="61"/>
      <c r="U1136" s="61"/>
      <c r="V1136" s="61"/>
      <c r="W1136" s="61"/>
      <c r="X1136" s="61"/>
      <c r="Y1136" s="61"/>
      <c r="Z1136" s="61"/>
    </row>
    <row r="1137" ht="15.75" customHeight="1">
      <c r="A1137" s="61"/>
      <c r="B1137" s="61"/>
      <c r="C1137" s="61"/>
      <c r="D1137" s="61"/>
      <c r="E1137" s="61"/>
      <c r="F1137" s="61"/>
      <c r="G1137" s="61" t="str">
        <f>IFERROR(__xludf.DUMMYFUNCTION("""COMPUTED_VALUE"""),"")</f>
        <v/>
      </c>
      <c r="H1137" s="63"/>
      <c r="I1137" s="61"/>
      <c r="J1137" s="61"/>
      <c r="K1137" s="61"/>
      <c r="L1137" s="61"/>
      <c r="M1137" s="61"/>
      <c r="N1137" s="61"/>
      <c r="O1137" s="61"/>
      <c r="P1137" s="61"/>
      <c r="Q1137" s="61"/>
      <c r="R1137" s="61"/>
      <c r="S1137" s="61"/>
      <c r="T1137" s="61"/>
      <c r="U1137" s="61"/>
      <c r="V1137" s="61"/>
      <c r="W1137" s="61"/>
      <c r="X1137" s="61"/>
      <c r="Y1137" s="61"/>
      <c r="Z1137" s="61"/>
    </row>
    <row r="1138" ht="15.75" customHeight="1">
      <c r="A1138" s="61"/>
      <c r="B1138" s="61"/>
      <c r="C1138" s="61"/>
      <c r="D1138" s="61"/>
      <c r="E1138" s="61"/>
      <c r="F1138" s="61"/>
      <c r="G1138" s="61" t="str">
        <f>IFERROR(__xludf.DUMMYFUNCTION("""COMPUTED_VALUE"""),"")</f>
        <v/>
      </c>
      <c r="H1138" s="63"/>
      <c r="I1138" s="61"/>
      <c r="J1138" s="61"/>
      <c r="K1138" s="61"/>
      <c r="L1138" s="61"/>
      <c r="M1138" s="61"/>
      <c r="N1138" s="61"/>
      <c r="O1138" s="61"/>
      <c r="P1138" s="61"/>
      <c r="Q1138" s="61"/>
      <c r="R1138" s="61"/>
      <c r="S1138" s="61"/>
      <c r="T1138" s="61"/>
      <c r="U1138" s="61"/>
      <c r="V1138" s="61"/>
      <c r="W1138" s="61"/>
      <c r="X1138" s="61"/>
      <c r="Y1138" s="61"/>
      <c r="Z1138" s="61"/>
    </row>
    <row r="1139" ht="15.75" customHeight="1">
      <c r="A1139" s="61"/>
      <c r="B1139" s="61"/>
      <c r="C1139" s="61"/>
      <c r="D1139" s="61"/>
      <c r="E1139" s="61"/>
      <c r="F1139" s="61"/>
      <c r="G1139" s="61" t="str">
        <f>IFERROR(__xludf.DUMMYFUNCTION("""COMPUTED_VALUE"""),"")</f>
        <v/>
      </c>
      <c r="H1139" s="63"/>
      <c r="I1139" s="61"/>
      <c r="J1139" s="61"/>
      <c r="K1139" s="61"/>
      <c r="L1139" s="61"/>
      <c r="M1139" s="61"/>
      <c r="N1139" s="61"/>
      <c r="O1139" s="61"/>
      <c r="P1139" s="61"/>
      <c r="Q1139" s="61"/>
      <c r="R1139" s="61"/>
      <c r="S1139" s="61"/>
      <c r="T1139" s="61"/>
      <c r="U1139" s="61"/>
      <c r="V1139" s="61"/>
      <c r="W1139" s="61"/>
      <c r="X1139" s="61"/>
      <c r="Y1139" s="61"/>
      <c r="Z1139" s="61"/>
    </row>
    <row r="1140" ht="15.75" customHeight="1">
      <c r="A1140" s="61"/>
      <c r="B1140" s="61"/>
      <c r="C1140" s="61"/>
      <c r="D1140" s="61"/>
      <c r="E1140" s="61"/>
      <c r="F1140" s="61"/>
      <c r="G1140" s="61" t="str">
        <f>IFERROR(__xludf.DUMMYFUNCTION("""COMPUTED_VALUE"""),"")</f>
        <v/>
      </c>
      <c r="H1140" s="63"/>
      <c r="I1140" s="61"/>
      <c r="J1140" s="61"/>
      <c r="K1140" s="61"/>
      <c r="L1140" s="61"/>
      <c r="M1140" s="61"/>
      <c r="N1140" s="61"/>
      <c r="O1140" s="61"/>
      <c r="P1140" s="61"/>
      <c r="Q1140" s="61"/>
      <c r="R1140" s="61"/>
      <c r="S1140" s="61"/>
      <c r="T1140" s="61"/>
      <c r="U1140" s="61"/>
      <c r="V1140" s="61"/>
      <c r="W1140" s="61"/>
      <c r="X1140" s="61"/>
      <c r="Y1140" s="61"/>
      <c r="Z1140" s="61"/>
    </row>
    <row r="1141" ht="15.75" customHeight="1">
      <c r="A1141" s="61"/>
      <c r="B1141" s="61"/>
      <c r="C1141" s="61"/>
      <c r="D1141" s="61"/>
      <c r="E1141" s="61"/>
      <c r="F1141" s="61"/>
      <c r="G1141" s="61" t="str">
        <f>IFERROR(__xludf.DUMMYFUNCTION("""COMPUTED_VALUE"""),"")</f>
        <v/>
      </c>
      <c r="H1141" s="63"/>
      <c r="I1141" s="61"/>
      <c r="J1141" s="61"/>
      <c r="K1141" s="61"/>
      <c r="L1141" s="61"/>
      <c r="M1141" s="61"/>
      <c r="N1141" s="61"/>
      <c r="O1141" s="61"/>
      <c r="P1141" s="61"/>
      <c r="Q1141" s="61"/>
      <c r="R1141" s="61"/>
      <c r="S1141" s="61"/>
      <c r="T1141" s="61"/>
      <c r="U1141" s="61"/>
      <c r="V1141" s="61"/>
      <c r="W1141" s="61"/>
      <c r="X1141" s="61"/>
      <c r="Y1141" s="61"/>
      <c r="Z1141" s="61"/>
    </row>
    <row r="1142" ht="15.75" customHeight="1">
      <c r="A1142" s="61"/>
      <c r="B1142" s="61"/>
      <c r="C1142" s="61"/>
      <c r="D1142" s="61"/>
      <c r="E1142" s="61"/>
      <c r="F1142" s="61"/>
      <c r="G1142" s="61" t="str">
        <f>IFERROR(__xludf.DUMMYFUNCTION("""COMPUTED_VALUE"""),"")</f>
        <v/>
      </c>
      <c r="H1142" s="63"/>
      <c r="I1142" s="61"/>
      <c r="J1142" s="61"/>
      <c r="K1142" s="61"/>
      <c r="L1142" s="61"/>
      <c r="M1142" s="61"/>
      <c r="N1142" s="61"/>
      <c r="O1142" s="61"/>
      <c r="P1142" s="61"/>
      <c r="Q1142" s="61"/>
      <c r="R1142" s="61"/>
      <c r="S1142" s="61"/>
      <c r="T1142" s="61"/>
      <c r="U1142" s="61"/>
      <c r="V1142" s="61"/>
      <c r="W1142" s="61"/>
      <c r="X1142" s="61"/>
      <c r="Y1142" s="61"/>
      <c r="Z1142" s="61"/>
    </row>
    <row r="1143" ht="15.75" customHeight="1">
      <c r="A1143" s="61"/>
      <c r="B1143" s="61"/>
      <c r="C1143" s="61"/>
      <c r="D1143" s="61"/>
      <c r="E1143" s="61"/>
      <c r="F1143" s="61"/>
      <c r="G1143" s="61" t="str">
        <f>IFERROR(__xludf.DUMMYFUNCTION("""COMPUTED_VALUE"""),"")</f>
        <v/>
      </c>
      <c r="H1143" s="63"/>
      <c r="I1143" s="61"/>
      <c r="J1143" s="61"/>
      <c r="K1143" s="61"/>
      <c r="L1143" s="61"/>
      <c r="M1143" s="61"/>
      <c r="N1143" s="61"/>
      <c r="O1143" s="61"/>
      <c r="P1143" s="61"/>
      <c r="Q1143" s="61"/>
      <c r="R1143" s="61"/>
      <c r="S1143" s="61"/>
      <c r="T1143" s="61"/>
      <c r="U1143" s="61"/>
      <c r="V1143" s="61"/>
      <c r="W1143" s="61"/>
      <c r="X1143" s="61"/>
      <c r="Y1143" s="61"/>
      <c r="Z1143" s="61"/>
    </row>
    <row r="1144" ht="15.75" customHeight="1">
      <c r="A1144" s="61"/>
      <c r="B1144" s="61"/>
      <c r="C1144" s="61"/>
      <c r="D1144" s="61"/>
      <c r="E1144" s="61"/>
      <c r="F1144" s="61"/>
      <c r="G1144" s="61" t="str">
        <f>IFERROR(__xludf.DUMMYFUNCTION("""COMPUTED_VALUE"""),"")</f>
        <v/>
      </c>
      <c r="H1144" s="63"/>
      <c r="I1144" s="61"/>
      <c r="J1144" s="61"/>
      <c r="K1144" s="61"/>
      <c r="L1144" s="61"/>
      <c r="M1144" s="61"/>
      <c r="N1144" s="61"/>
      <c r="O1144" s="61"/>
      <c r="P1144" s="61"/>
      <c r="Q1144" s="61"/>
      <c r="R1144" s="61"/>
      <c r="S1144" s="61"/>
      <c r="T1144" s="61"/>
      <c r="U1144" s="61"/>
      <c r="V1144" s="61"/>
      <c r="W1144" s="61"/>
      <c r="X1144" s="61"/>
      <c r="Y1144" s="61"/>
      <c r="Z1144" s="61"/>
    </row>
    <row r="1145" ht="15.75" customHeight="1">
      <c r="A1145" s="61"/>
      <c r="B1145" s="61"/>
      <c r="C1145" s="61"/>
      <c r="D1145" s="61"/>
      <c r="E1145" s="61"/>
      <c r="F1145" s="61"/>
      <c r="G1145" s="61" t="str">
        <f>IFERROR(__xludf.DUMMYFUNCTION("""COMPUTED_VALUE"""),"")</f>
        <v/>
      </c>
      <c r="H1145" s="63"/>
      <c r="I1145" s="61"/>
      <c r="J1145" s="61"/>
      <c r="K1145" s="61"/>
      <c r="L1145" s="61"/>
      <c r="M1145" s="61"/>
      <c r="N1145" s="61"/>
      <c r="O1145" s="61"/>
      <c r="P1145" s="61"/>
      <c r="Q1145" s="61"/>
      <c r="R1145" s="61"/>
      <c r="S1145" s="61"/>
      <c r="T1145" s="61"/>
      <c r="U1145" s="61"/>
      <c r="V1145" s="61"/>
      <c r="W1145" s="61"/>
      <c r="X1145" s="61"/>
      <c r="Y1145" s="61"/>
      <c r="Z1145" s="61"/>
    </row>
    <row r="1146" ht="15.75" customHeight="1">
      <c r="A1146" s="61"/>
      <c r="B1146" s="61"/>
      <c r="C1146" s="61"/>
      <c r="D1146" s="61"/>
      <c r="E1146" s="61"/>
      <c r="F1146" s="61"/>
      <c r="G1146" s="61" t="str">
        <f>IFERROR(__xludf.DUMMYFUNCTION("""COMPUTED_VALUE"""),"")</f>
        <v/>
      </c>
      <c r="H1146" s="63"/>
      <c r="I1146" s="61"/>
      <c r="J1146" s="61"/>
      <c r="K1146" s="61"/>
      <c r="L1146" s="61"/>
      <c r="M1146" s="61"/>
      <c r="N1146" s="61"/>
      <c r="O1146" s="61"/>
      <c r="P1146" s="61"/>
      <c r="Q1146" s="61"/>
      <c r="R1146" s="61"/>
      <c r="S1146" s="61"/>
      <c r="T1146" s="61"/>
      <c r="U1146" s="61"/>
      <c r="V1146" s="61"/>
      <c r="W1146" s="61"/>
      <c r="X1146" s="61"/>
      <c r="Y1146" s="61"/>
      <c r="Z1146" s="61"/>
    </row>
    <row r="1147" ht="15.75" customHeight="1">
      <c r="A1147" s="61"/>
      <c r="B1147" s="61"/>
      <c r="C1147" s="61"/>
      <c r="D1147" s="61"/>
      <c r="E1147" s="61"/>
      <c r="F1147" s="61"/>
      <c r="G1147" s="61" t="str">
        <f>IFERROR(__xludf.DUMMYFUNCTION("""COMPUTED_VALUE"""),"")</f>
        <v/>
      </c>
      <c r="H1147" s="63"/>
      <c r="I1147" s="61"/>
      <c r="J1147" s="61"/>
      <c r="K1147" s="61"/>
      <c r="L1147" s="61"/>
      <c r="M1147" s="61"/>
      <c r="N1147" s="61"/>
      <c r="O1147" s="61"/>
      <c r="P1147" s="61"/>
      <c r="Q1147" s="61"/>
      <c r="R1147" s="61"/>
      <c r="S1147" s="61"/>
      <c r="T1147" s="61"/>
      <c r="U1147" s="61"/>
      <c r="V1147" s="61"/>
      <c r="W1147" s="61"/>
      <c r="X1147" s="61"/>
      <c r="Y1147" s="61"/>
      <c r="Z1147" s="61"/>
    </row>
    <row r="1148" ht="15.75" customHeight="1">
      <c r="A1148" s="61"/>
      <c r="B1148" s="61"/>
      <c r="C1148" s="61"/>
      <c r="D1148" s="61"/>
      <c r="E1148" s="61"/>
      <c r="F1148" s="61"/>
      <c r="G1148" s="61" t="str">
        <f>IFERROR(__xludf.DUMMYFUNCTION("""COMPUTED_VALUE"""),"")</f>
        <v/>
      </c>
      <c r="H1148" s="63"/>
      <c r="I1148" s="61"/>
      <c r="J1148" s="61"/>
      <c r="K1148" s="61"/>
      <c r="L1148" s="61"/>
      <c r="M1148" s="61"/>
      <c r="N1148" s="61"/>
      <c r="O1148" s="61"/>
      <c r="P1148" s="61"/>
      <c r="Q1148" s="61"/>
      <c r="R1148" s="61"/>
      <c r="S1148" s="61"/>
      <c r="T1148" s="61"/>
      <c r="U1148" s="61"/>
      <c r="V1148" s="61"/>
      <c r="W1148" s="61"/>
      <c r="X1148" s="61"/>
      <c r="Y1148" s="61"/>
      <c r="Z1148" s="61"/>
    </row>
    <row r="1149" ht="15.75" customHeight="1">
      <c r="A1149" s="61"/>
      <c r="B1149" s="61"/>
      <c r="C1149" s="61"/>
      <c r="D1149" s="61"/>
      <c r="E1149" s="61"/>
      <c r="F1149" s="61"/>
      <c r="G1149" s="61" t="str">
        <f>IFERROR(__xludf.DUMMYFUNCTION("""COMPUTED_VALUE"""),"")</f>
        <v/>
      </c>
      <c r="H1149" s="63"/>
      <c r="I1149" s="61"/>
      <c r="J1149" s="61"/>
      <c r="K1149" s="61"/>
      <c r="L1149" s="61"/>
      <c r="M1149" s="61"/>
      <c r="N1149" s="61"/>
      <c r="O1149" s="61"/>
      <c r="P1149" s="61"/>
      <c r="Q1149" s="61"/>
      <c r="R1149" s="61"/>
      <c r="S1149" s="61"/>
      <c r="T1149" s="61"/>
      <c r="U1149" s="61"/>
      <c r="V1149" s="61"/>
      <c r="W1149" s="61"/>
      <c r="X1149" s="61"/>
      <c r="Y1149" s="61"/>
      <c r="Z1149" s="61"/>
    </row>
    <row r="1150" ht="15.75" customHeight="1">
      <c r="A1150" s="61"/>
      <c r="B1150" s="61"/>
      <c r="C1150" s="61"/>
      <c r="D1150" s="61"/>
      <c r="E1150" s="61"/>
      <c r="F1150" s="61"/>
      <c r="G1150" s="61" t="str">
        <f>IFERROR(__xludf.DUMMYFUNCTION("""COMPUTED_VALUE"""),"")</f>
        <v/>
      </c>
      <c r="H1150" s="63"/>
      <c r="I1150" s="61"/>
      <c r="J1150" s="61"/>
      <c r="K1150" s="61"/>
      <c r="L1150" s="61"/>
      <c r="M1150" s="61"/>
      <c r="N1150" s="61"/>
      <c r="O1150" s="61"/>
      <c r="P1150" s="61"/>
      <c r="Q1150" s="61"/>
      <c r="R1150" s="61"/>
      <c r="S1150" s="61"/>
      <c r="T1150" s="61"/>
      <c r="U1150" s="61"/>
      <c r="V1150" s="61"/>
      <c r="W1150" s="61"/>
      <c r="X1150" s="61"/>
      <c r="Y1150" s="61"/>
      <c r="Z1150" s="61"/>
    </row>
    <row r="1151" ht="15.75" customHeight="1">
      <c r="A1151" s="61"/>
      <c r="B1151" s="61"/>
      <c r="C1151" s="61"/>
      <c r="D1151" s="61"/>
      <c r="E1151" s="61"/>
      <c r="F1151" s="61"/>
      <c r="G1151" s="61" t="str">
        <f>IFERROR(__xludf.DUMMYFUNCTION("""COMPUTED_VALUE"""),"")</f>
        <v/>
      </c>
      <c r="H1151" s="63"/>
      <c r="I1151" s="61"/>
      <c r="J1151" s="61"/>
      <c r="K1151" s="61"/>
      <c r="L1151" s="61"/>
      <c r="M1151" s="61"/>
      <c r="N1151" s="61"/>
      <c r="O1151" s="61"/>
      <c r="P1151" s="61"/>
      <c r="Q1151" s="61"/>
      <c r="R1151" s="61"/>
      <c r="S1151" s="61"/>
      <c r="T1151" s="61"/>
      <c r="U1151" s="61"/>
      <c r="V1151" s="61"/>
      <c r="W1151" s="61"/>
      <c r="X1151" s="61"/>
      <c r="Y1151" s="61"/>
      <c r="Z1151" s="61"/>
    </row>
    <row r="1152" ht="15.75" customHeight="1">
      <c r="A1152" s="61"/>
      <c r="B1152" s="61"/>
      <c r="C1152" s="61"/>
      <c r="D1152" s="61"/>
      <c r="E1152" s="61"/>
      <c r="F1152" s="61"/>
      <c r="G1152" s="61" t="str">
        <f>IFERROR(__xludf.DUMMYFUNCTION("""COMPUTED_VALUE"""),"")</f>
        <v/>
      </c>
      <c r="H1152" s="63"/>
      <c r="I1152" s="61"/>
      <c r="J1152" s="61"/>
      <c r="K1152" s="61"/>
      <c r="L1152" s="61"/>
      <c r="M1152" s="61"/>
      <c r="N1152" s="61"/>
      <c r="O1152" s="61"/>
      <c r="P1152" s="61"/>
      <c r="Q1152" s="61"/>
      <c r="R1152" s="61"/>
      <c r="S1152" s="61"/>
      <c r="T1152" s="61"/>
      <c r="U1152" s="61"/>
      <c r="V1152" s="61"/>
      <c r="W1152" s="61"/>
      <c r="X1152" s="61"/>
      <c r="Y1152" s="61"/>
      <c r="Z1152" s="61"/>
    </row>
    <row r="1153" ht="15.75" customHeight="1">
      <c r="A1153" s="61"/>
      <c r="B1153" s="61"/>
      <c r="C1153" s="61"/>
      <c r="D1153" s="61"/>
      <c r="E1153" s="61"/>
      <c r="F1153" s="61"/>
      <c r="G1153" s="61" t="str">
        <f>IFERROR(__xludf.DUMMYFUNCTION("""COMPUTED_VALUE"""),"")</f>
        <v/>
      </c>
      <c r="H1153" s="63"/>
      <c r="I1153" s="61"/>
      <c r="J1153" s="61"/>
      <c r="K1153" s="61"/>
      <c r="L1153" s="61"/>
      <c r="M1153" s="61"/>
      <c r="N1153" s="61"/>
      <c r="O1153" s="61"/>
      <c r="P1153" s="61"/>
      <c r="Q1153" s="61"/>
      <c r="R1153" s="61"/>
      <c r="S1153" s="61"/>
      <c r="T1153" s="61"/>
      <c r="U1153" s="61"/>
      <c r="V1153" s="61"/>
      <c r="W1153" s="61"/>
      <c r="X1153" s="61"/>
      <c r="Y1153" s="61"/>
      <c r="Z1153" s="61"/>
    </row>
    <row r="1154" ht="15.75" customHeight="1">
      <c r="A1154" s="61"/>
      <c r="B1154" s="61"/>
      <c r="C1154" s="61"/>
      <c r="D1154" s="61"/>
      <c r="E1154" s="61"/>
      <c r="F1154" s="61"/>
      <c r="G1154" s="61" t="str">
        <f>IFERROR(__xludf.DUMMYFUNCTION("""COMPUTED_VALUE"""),"")</f>
        <v/>
      </c>
      <c r="H1154" s="63"/>
      <c r="I1154" s="61"/>
      <c r="J1154" s="61"/>
      <c r="K1154" s="61"/>
      <c r="L1154" s="61"/>
      <c r="M1154" s="61"/>
      <c r="N1154" s="61"/>
      <c r="O1154" s="61"/>
      <c r="P1154" s="61"/>
      <c r="Q1154" s="61"/>
      <c r="R1154" s="61"/>
      <c r="S1154" s="61"/>
      <c r="T1154" s="61"/>
      <c r="U1154" s="61"/>
      <c r="V1154" s="61"/>
      <c r="W1154" s="61"/>
      <c r="X1154" s="61"/>
      <c r="Y1154" s="61"/>
      <c r="Z1154" s="61"/>
    </row>
    <row r="1155" ht="15.75" customHeight="1">
      <c r="A1155" s="61"/>
      <c r="B1155" s="61"/>
      <c r="C1155" s="61"/>
      <c r="D1155" s="61"/>
      <c r="E1155" s="61"/>
      <c r="F1155" s="61"/>
      <c r="G1155" s="61" t="str">
        <f>IFERROR(__xludf.DUMMYFUNCTION("""COMPUTED_VALUE"""),"")</f>
        <v/>
      </c>
      <c r="H1155" s="63"/>
      <c r="I1155" s="61"/>
      <c r="J1155" s="61"/>
      <c r="K1155" s="61"/>
      <c r="L1155" s="61"/>
      <c r="M1155" s="61"/>
      <c r="N1155" s="61"/>
      <c r="O1155" s="61"/>
      <c r="P1155" s="61"/>
      <c r="Q1155" s="61"/>
      <c r="R1155" s="61"/>
      <c r="S1155" s="61"/>
      <c r="T1155" s="61"/>
      <c r="U1155" s="61"/>
      <c r="V1155" s="61"/>
      <c r="W1155" s="61"/>
      <c r="X1155" s="61"/>
      <c r="Y1155" s="61"/>
      <c r="Z1155" s="61"/>
    </row>
    <row r="1156" ht="15.75" customHeight="1">
      <c r="A1156" s="61"/>
      <c r="B1156" s="61"/>
      <c r="C1156" s="61"/>
      <c r="D1156" s="61"/>
      <c r="E1156" s="61"/>
      <c r="F1156" s="61"/>
      <c r="G1156" s="61" t="str">
        <f>IFERROR(__xludf.DUMMYFUNCTION("""COMPUTED_VALUE"""),"")</f>
        <v/>
      </c>
      <c r="H1156" s="63"/>
      <c r="I1156" s="61"/>
      <c r="J1156" s="61"/>
      <c r="K1156" s="61"/>
      <c r="L1156" s="61"/>
      <c r="M1156" s="61"/>
      <c r="N1156" s="61"/>
      <c r="O1156" s="61"/>
      <c r="P1156" s="61"/>
      <c r="Q1156" s="61"/>
      <c r="R1156" s="61"/>
      <c r="S1156" s="61"/>
      <c r="T1156" s="61"/>
      <c r="U1156" s="61"/>
      <c r="V1156" s="61"/>
      <c r="W1156" s="61"/>
      <c r="X1156" s="61"/>
      <c r="Y1156" s="61"/>
      <c r="Z1156" s="61"/>
    </row>
    <row r="1157" ht="15.75" customHeight="1">
      <c r="A1157" s="61"/>
      <c r="B1157" s="61"/>
      <c r="C1157" s="61"/>
      <c r="D1157" s="61"/>
      <c r="E1157" s="61"/>
      <c r="F1157" s="61"/>
      <c r="G1157" s="61" t="str">
        <f>IFERROR(__xludf.DUMMYFUNCTION("""COMPUTED_VALUE"""),"")</f>
        <v/>
      </c>
      <c r="H1157" s="63"/>
      <c r="I1157" s="61"/>
      <c r="J1157" s="61"/>
      <c r="K1157" s="61"/>
      <c r="L1157" s="61"/>
      <c r="M1157" s="61"/>
      <c r="N1157" s="61"/>
      <c r="O1157" s="61"/>
      <c r="P1157" s="61"/>
      <c r="Q1157" s="61"/>
      <c r="R1157" s="61"/>
      <c r="S1157" s="61"/>
      <c r="T1157" s="61"/>
      <c r="U1157" s="61"/>
      <c r="V1157" s="61"/>
      <c r="W1157" s="61"/>
      <c r="X1157" s="61"/>
      <c r="Y1157" s="61"/>
      <c r="Z1157" s="61"/>
    </row>
    <row r="1158" ht="15.75" customHeight="1">
      <c r="A1158" s="61"/>
      <c r="B1158" s="61"/>
      <c r="C1158" s="61"/>
      <c r="D1158" s="61"/>
      <c r="E1158" s="61"/>
      <c r="F1158" s="61"/>
      <c r="G1158" s="61" t="str">
        <f>IFERROR(__xludf.DUMMYFUNCTION("""COMPUTED_VALUE"""),"")</f>
        <v/>
      </c>
      <c r="H1158" s="63"/>
      <c r="I1158" s="61"/>
      <c r="J1158" s="61"/>
      <c r="K1158" s="61"/>
      <c r="L1158" s="61"/>
      <c r="M1158" s="61"/>
      <c r="N1158" s="61"/>
      <c r="O1158" s="61"/>
      <c r="P1158" s="61"/>
      <c r="Q1158" s="61"/>
      <c r="R1158" s="61"/>
      <c r="S1158" s="61"/>
      <c r="T1158" s="61"/>
      <c r="U1158" s="61"/>
      <c r="V1158" s="61"/>
      <c r="W1158" s="61"/>
      <c r="X1158" s="61"/>
      <c r="Y1158" s="61"/>
      <c r="Z1158" s="61"/>
    </row>
    <row r="1159" ht="15.75" customHeight="1">
      <c r="A1159" s="61"/>
      <c r="B1159" s="61"/>
      <c r="C1159" s="61"/>
      <c r="D1159" s="61"/>
      <c r="E1159" s="61"/>
      <c r="F1159" s="61"/>
      <c r="G1159" s="61" t="str">
        <f>IFERROR(__xludf.DUMMYFUNCTION("""COMPUTED_VALUE"""),"")</f>
        <v/>
      </c>
      <c r="H1159" s="63"/>
      <c r="I1159" s="61"/>
      <c r="J1159" s="61"/>
      <c r="K1159" s="61"/>
      <c r="L1159" s="61"/>
      <c r="M1159" s="61"/>
      <c r="N1159" s="61"/>
      <c r="O1159" s="61"/>
      <c r="P1159" s="61"/>
      <c r="Q1159" s="61"/>
      <c r="R1159" s="61"/>
      <c r="S1159" s="61"/>
      <c r="T1159" s="61"/>
      <c r="U1159" s="61"/>
      <c r="V1159" s="61"/>
      <c r="W1159" s="61"/>
      <c r="X1159" s="61"/>
      <c r="Y1159" s="61"/>
      <c r="Z1159" s="61"/>
    </row>
    <row r="1160" ht="15.75" customHeight="1">
      <c r="A1160" s="61"/>
      <c r="B1160" s="61"/>
      <c r="C1160" s="61"/>
      <c r="D1160" s="61"/>
      <c r="E1160" s="61"/>
      <c r="F1160" s="61"/>
      <c r="G1160" s="61" t="str">
        <f>IFERROR(__xludf.DUMMYFUNCTION("""COMPUTED_VALUE"""),"")</f>
        <v/>
      </c>
      <c r="H1160" s="63"/>
      <c r="I1160" s="61"/>
      <c r="J1160" s="61"/>
      <c r="K1160" s="61"/>
      <c r="L1160" s="61"/>
      <c r="M1160" s="61"/>
      <c r="N1160" s="61"/>
      <c r="O1160" s="61"/>
      <c r="P1160" s="61"/>
      <c r="Q1160" s="61"/>
      <c r="R1160" s="61"/>
      <c r="S1160" s="61"/>
      <c r="T1160" s="61"/>
      <c r="U1160" s="61"/>
      <c r="V1160" s="61"/>
      <c r="W1160" s="61"/>
      <c r="X1160" s="61"/>
      <c r="Y1160" s="61"/>
      <c r="Z1160" s="61"/>
    </row>
    <row r="1161" ht="15.75" customHeight="1">
      <c r="A1161" s="61"/>
      <c r="B1161" s="61"/>
      <c r="C1161" s="61"/>
      <c r="D1161" s="61"/>
      <c r="E1161" s="61"/>
      <c r="F1161" s="61"/>
      <c r="G1161" s="61" t="str">
        <f>IFERROR(__xludf.DUMMYFUNCTION("""COMPUTED_VALUE"""),"")</f>
        <v/>
      </c>
      <c r="H1161" s="63"/>
      <c r="I1161" s="61"/>
      <c r="J1161" s="61"/>
      <c r="K1161" s="61"/>
      <c r="L1161" s="61"/>
      <c r="M1161" s="61"/>
      <c r="N1161" s="61"/>
      <c r="O1161" s="61"/>
      <c r="P1161" s="61"/>
      <c r="Q1161" s="61"/>
      <c r="R1161" s="61"/>
      <c r="S1161" s="61"/>
      <c r="T1161" s="61"/>
      <c r="U1161" s="61"/>
      <c r="V1161" s="61"/>
      <c r="W1161" s="61"/>
      <c r="X1161" s="61"/>
      <c r="Y1161" s="61"/>
      <c r="Z1161" s="61"/>
    </row>
    <row r="1162" ht="15.75" customHeight="1">
      <c r="A1162" s="61"/>
      <c r="B1162" s="61"/>
      <c r="C1162" s="61"/>
      <c r="D1162" s="61"/>
      <c r="E1162" s="61"/>
      <c r="F1162" s="61"/>
      <c r="G1162" s="61" t="str">
        <f>IFERROR(__xludf.DUMMYFUNCTION("""COMPUTED_VALUE"""),"")</f>
        <v/>
      </c>
      <c r="H1162" s="63"/>
      <c r="I1162" s="61"/>
      <c r="J1162" s="61"/>
      <c r="K1162" s="61"/>
      <c r="L1162" s="61"/>
      <c r="M1162" s="61"/>
      <c r="N1162" s="61"/>
      <c r="O1162" s="61"/>
      <c r="P1162" s="61"/>
      <c r="Q1162" s="61"/>
      <c r="R1162" s="61"/>
      <c r="S1162" s="61"/>
      <c r="T1162" s="61"/>
      <c r="U1162" s="61"/>
      <c r="V1162" s="61"/>
      <c r="W1162" s="61"/>
      <c r="X1162" s="61"/>
      <c r="Y1162" s="61"/>
      <c r="Z1162" s="61"/>
    </row>
    <row r="1163" ht="15.75" customHeight="1">
      <c r="A1163" s="61"/>
      <c r="B1163" s="61"/>
      <c r="C1163" s="61"/>
      <c r="D1163" s="61"/>
      <c r="E1163" s="61"/>
      <c r="F1163" s="61"/>
      <c r="G1163" s="61" t="str">
        <f>IFERROR(__xludf.DUMMYFUNCTION("""COMPUTED_VALUE"""),"")</f>
        <v/>
      </c>
      <c r="H1163" s="63"/>
      <c r="I1163" s="61"/>
      <c r="J1163" s="61"/>
      <c r="K1163" s="61"/>
      <c r="L1163" s="61"/>
      <c r="M1163" s="61"/>
      <c r="N1163" s="61"/>
      <c r="O1163" s="61"/>
      <c r="P1163" s="61"/>
      <c r="Q1163" s="61"/>
      <c r="R1163" s="61"/>
      <c r="S1163" s="61"/>
      <c r="T1163" s="61"/>
      <c r="U1163" s="61"/>
      <c r="V1163" s="61"/>
      <c r="W1163" s="61"/>
      <c r="X1163" s="61"/>
      <c r="Y1163" s="61"/>
      <c r="Z1163" s="61"/>
    </row>
    <row r="1164" ht="15.75" customHeight="1">
      <c r="A1164" s="61"/>
      <c r="B1164" s="61"/>
      <c r="C1164" s="61"/>
      <c r="D1164" s="61"/>
      <c r="E1164" s="61"/>
      <c r="F1164" s="61"/>
      <c r="G1164" s="61" t="str">
        <f>IFERROR(__xludf.DUMMYFUNCTION("""COMPUTED_VALUE"""),"")</f>
        <v/>
      </c>
      <c r="H1164" s="63"/>
      <c r="I1164" s="61"/>
      <c r="J1164" s="61"/>
      <c r="K1164" s="61"/>
      <c r="L1164" s="61"/>
      <c r="M1164" s="61"/>
      <c r="N1164" s="61"/>
      <c r="O1164" s="61"/>
      <c r="P1164" s="61"/>
      <c r="Q1164" s="61"/>
      <c r="R1164" s="61"/>
      <c r="S1164" s="61"/>
      <c r="T1164" s="61"/>
      <c r="U1164" s="61"/>
      <c r="V1164" s="61"/>
      <c r="W1164" s="61"/>
      <c r="X1164" s="61"/>
      <c r="Y1164" s="61"/>
      <c r="Z1164" s="61"/>
    </row>
    <row r="1165" ht="15.75" customHeight="1">
      <c r="A1165" s="61"/>
      <c r="B1165" s="61"/>
      <c r="C1165" s="61"/>
      <c r="D1165" s="61"/>
      <c r="E1165" s="61"/>
      <c r="F1165" s="61"/>
      <c r="G1165" s="61" t="str">
        <f>IFERROR(__xludf.DUMMYFUNCTION("""COMPUTED_VALUE"""),"")</f>
        <v/>
      </c>
      <c r="H1165" s="63"/>
      <c r="I1165" s="61"/>
      <c r="J1165" s="61"/>
      <c r="K1165" s="61"/>
      <c r="L1165" s="61"/>
      <c r="M1165" s="61"/>
      <c r="N1165" s="61"/>
      <c r="O1165" s="61"/>
      <c r="P1165" s="61"/>
      <c r="Q1165" s="61"/>
      <c r="R1165" s="61"/>
      <c r="S1165" s="61"/>
      <c r="T1165" s="61"/>
      <c r="U1165" s="61"/>
      <c r="V1165" s="61"/>
      <c r="W1165" s="61"/>
      <c r="X1165" s="61"/>
      <c r="Y1165" s="61"/>
      <c r="Z1165" s="61"/>
    </row>
    <row r="1166" ht="15.75" customHeight="1">
      <c r="A1166" s="61"/>
      <c r="B1166" s="61"/>
      <c r="C1166" s="61"/>
      <c r="D1166" s="61"/>
      <c r="E1166" s="61"/>
      <c r="F1166" s="61"/>
      <c r="G1166" s="61" t="str">
        <f>IFERROR(__xludf.DUMMYFUNCTION("""COMPUTED_VALUE"""),"")</f>
        <v/>
      </c>
      <c r="H1166" s="63"/>
      <c r="I1166" s="61"/>
      <c r="J1166" s="61"/>
      <c r="K1166" s="61"/>
      <c r="L1166" s="61"/>
      <c r="M1166" s="61"/>
      <c r="N1166" s="61"/>
      <c r="O1166" s="61"/>
      <c r="P1166" s="61"/>
      <c r="Q1166" s="61"/>
      <c r="R1166" s="61"/>
      <c r="S1166" s="61"/>
      <c r="T1166" s="61"/>
      <c r="U1166" s="61"/>
      <c r="V1166" s="61"/>
      <c r="W1166" s="61"/>
      <c r="X1166" s="61"/>
      <c r="Y1166" s="61"/>
      <c r="Z1166" s="61"/>
    </row>
    <row r="1167" ht="15.75" customHeight="1">
      <c r="A1167" s="61"/>
      <c r="B1167" s="61"/>
      <c r="C1167" s="61"/>
      <c r="D1167" s="61"/>
      <c r="E1167" s="61"/>
      <c r="F1167" s="61"/>
      <c r="G1167" s="61" t="str">
        <f>IFERROR(__xludf.DUMMYFUNCTION("""COMPUTED_VALUE"""),"")</f>
        <v/>
      </c>
      <c r="H1167" s="63"/>
      <c r="I1167" s="61"/>
      <c r="J1167" s="61"/>
      <c r="K1167" s="61"/>
      <c r="L1167" s="61"/>
      <c r="M1167" s="61"/>
      <c r="N1167" s="61"/>
      <c r="O1167" s="61"/>
      <c r="P1167" s="61"/>
      <c r="Q1167" s="61"/>
      <c r="R1167" s="61"/>
      <c r="S1167" s="61"/>
      <c r="T1167" s="61"/>
      <c r="U1167" s="61"/>
      <c r="V1167" s="61"/>
      <c r="W1167" s="61"/>
      <c r="X1167" s="61"/>
      <c r="Y1167" s="61"/>
      <c r="Z1167" s="61"/>
    </row>
    <row r="1168" ht="15.75" customHeight="1">
      <c r="A1168" s="61"/>
      <c r="B1168" s="61"/>
      <c r="C1168" s="61"/>
      <c r="D1168" s="61"/>
      <c r="E1168" s="61"/>
      <c r="F1168" s="61"/>
      <c r="G1168" s="61" t="str">
        <f>IFERROR(__xludf.DUMMYFUNCTION("""COMPUTED_VALUE"""),"")</f>
        <v/>
      </c>
      <c r="H1168" s="63"/>
      <c r="I1168" s="61"/>
      <c r="J1168" s="61"/>
      <c r="K1168" s="61"/>
      <c r="L1168" s="61"/>
      <c r="M1168" s="61"/>
      <c r="N1168" s="61"/>
      <c r="O1168" s="61"/>
      <c r="P1168" s="61"/>
      <c r="Q1168" s="61"/>
      <c r="R1168" s="61"/>
      <c r="S1168" s="61"/>
      <c r="T1168" s="61"/>
      <c r="U1168" s="61"/>
      <c r="V1168" s="61"/>
      <c r="W1168" s="61"/>
      <c r="X1168" s="61"/>
      <c r="Y1168" s="61"/>
      <c r="Z1168" s="61"/>
    </row>
    <row r="1169" ht="15.75" customHeight="1">
      <c r="A1169" s="61"/>
      <c r="B1169" s="61"/>
      <c r="C1169" s="61"/>
      <c r="D1169" s="61"/>
      <c r="E1169" s="61"/>
      <c r="F1169" s="61"/>
      <c r="G1169" s="61" t="str">
        <f>IFERROR(__xludf.DUMMYFUNCTION("""COMPUTED_VALUE"""),"")</f>
        <v/>
      </c>
      <c r="H1169" s="63"/>
      <c r="I1169" s="61"/>
      <c r="J1169" s="61"/>
      <c r="K1169" s="61"/>
      <c r="L1169" s="61"/>
      <c r="M1169" s="61"/>
      <c r="N1169" s="61"/>
      <c r="O1169" s="61"/>
      <c r="P1169" s="61"/>
      <c r="Q1169" s="61"/>
      <c r="R1169" s="61"/>
      <c r="S1169" s="61"/>
      <c r="T1169" s="61"/>
      <c r="U1169" s="61"/>
      <c r="V1169" s="61"/>
      <c r="W1169" s="61"/>
      <c r="X1169" s="61"/>
      <c r="Y1169" s="61"/>
      <c r="Z1169" s="61"/>
    </row>
    <row r="1170" ht="15.75" customHeight="1">
      <c r="A1170" s="61"/>
      <c r="B1170" s="61"/>
      <c r="C1170" s="61"/>
      <c r="D1170" s="61"/>
      <c r="E1170" s="61"/>
      <c r="F1170" s="61"/>
      <c r="G1170" s="61" t="str">
        <f>IFERROR(__xludf.DUMMYFUNCTION("""COMPUTED_VALUE"""),"")</f>
        <v/>
      </c>
      <c r="H1170" s="63"/>
      <c r="I1170" s="61"/>
      <c r="J1170" s="61"/>
      <c r="K1170" s="61"/>
      <c r="L1170" s="61"/>
      <c r="M1170" s="61"/>
      <c r="N1170" s="61"/>
      <c r="O1170" s="61"/>
      <c r="P1170" s="61"/>
      <c r="Q1170" s="61"/>
      <c r="R1170" s="61"/>
      <c r="S1170" s="61"/>
      <c r="T1170" s="61"/>
      <c r="U1170" s="61"/>
      <c r="V1170" s="61"/>
      <c r="W1170" s="61"/>
      <c r="X1170" s="61"/>
      <c r="Y1170" s="61"/>
      <c r="Z1170" s="61"/>
    </row>
    <row r="1171" ht="15.75" customHeight="1">
      <c r="A1171" s="61"/>
      <c r="B1171" s="61"/>
      <c r="C1171" s="61"/>
      <c r="D1171" s="61"/>
      <c r="E1171" s="61"/>
      <c r="F1171" s="61"/>
      <c r="G1171" s="61" t="str">
        <f>IFERROR(__xludf.DUMMYFUNCTION("""COMPUTED_VALUE"""),"")</f>
        <v/>
      </c>
      <c r="H1171" s="63"/>
      <c r="I1171" s="61"/>
      <c r="J1171" s="61"/>
      <c r="K1171" s="61"/>
      <c r="L1171" s="61"/>
      <c r="M1171" s="61"/>
      <c r="N1171" s="61"/>
      <c r="O1171" s="61"/>
      <c r="P1171" s="61"/>
      <c r="Q1171" s="61"/>
      <c r="R1171" s="61"/>
      <c r="S1171" s="61"/>
      <c r="T1171" s="61"/>
      <c r="U1171" s="61"/>
      <c r="V1171" s="61"/>
      <c r="W1171" s="61"/>
      <c r="X1171" s="61"/>
      <c r="Y1171" s="61"/>
      <c r="Z1171" s="61"/>
    </row>
    <row r="1172" ht="15.75" customHeight="1">
      <c r="A1172" s="61"/>
      <c r="B1172" s="61"/>
      <c r="C1172" s="61"/>
      <c r="D1172" s="61"/>
      <c r="E1172" s="61"/>
      <c r="F1172" s="61"/>
      <c r="G1172" s="61" t="str">
        <f>IFERROR(__xludf.DUMMYFUNCTION("""COMPUTED_VALUE"""),"")</f>
        <v/>
      </c>
      <c r="H1172" s="63"/>
      <c r="I1172" s="61"/>
      <c r="J1172" s="61"/>
      <c r="K1172" s="61"/>
      <c r="L1172" s="61"/>
      <c r="M1172" s="61"/>
      <c r="N1172" s="61"/>
      <c r="O1172" s="61"/>
      <c r="P1172" s="61"/>
      <c r="Q1172" s="61"/>
      <c r="R1172" s="61"/>
      <c r="S1172" s="61"/>
      <c r="T1172" s="61"/>
      <c r="U1172" s="61"/>
      <c r="V1172" s="61"/>
      <c r="W1172" s="61"/>
      <c r="X1172" s="61"/>
      <c r="Y1172" s="61"/>
      <c r="Z1172" s="61"/>
    </row>
    <row r="1173" ht="15.75" customHeight="1">
      <c r="A1173" s="61"/>
      <c r="B1173" s="61"/>
      <c r="C1173" s="61"/>
      <c r="D1173" s="61"/>
      <c r="E1173" s="61"/>
      <c r="F1173" s="61"/>
      <c r="G1173" s="61" t="str">
        <f>IFERROR(__xludf.DUMMYFUNCTION("""COMPUTED_VALUE"""),"")</f>
        <v/>
      </c>
      <c r="H1173" s="63"/>
      <c r="I1173" s="61"/>
      <c r="J1173" s="61"/>
      <c r="K1173" s="61"/>
      <c r="L1173" s="61"/>
      <c r="M1173" s="61"/>
      <c r="N1173" s="61"/>
      <c r="O1173" s="61"/>
      <c r="P1173" s="61"/>
      <c r="Q1173" s="61"/>
      <c r="R1173" s="61"/>
      <c r="S1173" s="61"/>
      <c r="T1173" s="61"/>
      <c r="U1173" s="61"/>
      <c r="V1173" s="61"/>
      <c r="W1173" s="61"/>
      <c r="X1173" s="61"/>
      <c r="Y1173" s="61"/>
      <c r="Z1173" s="61"/>
    </row>
    <row r="1174" ht="15.75" customHeight="1">
      <c r="A1174" s="61"/>
      <c r="B1174" s="61"/>
      <c r="C1174" s="61"/>
      <c r="D1174" s="61"/>
      <c r="E1174" s="61"/>
      <c r="F1174" s="61"/>
      <c r="G1174" s="61" t="str">
        <f>IFERROR(__xludf.DUMMYFUNCTION("""COMPUTED_VALUE"""),"")</f>
        <v/>
      </c>
      <c r="H1174" s="63"/>
      <c r="I1174" s="61"/>
      <c r="J1174" s="61"/>
      <c r="K1174" s="61"/>
      <c r="L1174" s="61"/>
      <c r="M1174" s="61"/>
      <c r="N1174" s="61"/>
      <c r="O1174" s="61"/>
      <c r="P1174" s="61"/>
      <c r="Q1174" s="61"/>
      <c r="R1174" s="61"/>
      <c r="S1174" s="61"/>
      <c r="T1174" s="61"/>
      <c r="U1174" s="61"/>
      <c r="V1174" s="61"/>
      <c r="W1174" s="61"/>
      <c r="X1174" s="61"/>
      <c r="Y1174" s="61"/>
      <c r="Z1174" s="61"/>
    </row>
    <row r="1175" ht="15.75" customHeight="1">
      <c r="A1175" s="61"/>
      <c r="B1175" s="61"/>
      <c r="C1175" s="61"/>
      <c r="D1175" s="61"/>
      <c r="E1175" s="61"/>
      <c r="F1175" s="61"/>
      <c r="G1175" s="61" t="str">
        <f>IFERROR(__xludf.DUMMYFUNCTION("""COMPUTED_VALUE"""),"")</f>
        <v/>
      </c>
      <c r="H1175" s="63"/>
      <c r="I1175" s="61"/>
      <c r="J1175" s="61"/>
      <c r="K1175" s="61"/>
      <c r="L1175" s="61"/>
      <c r="M1175" s="61"/>
      <c r="N1175" s="61"/>
      <c r="O1175" s="61"/>
      <c r="P1175" s="61"/>
      <c r="Q1175" s="61"/>
      <c r="R1175" s="61"/>
      <c r="S1175" s="61"/>
      <c r="T1175" s="61"/>
      <c r="U1175" s="61"/>
      <c r="V1175" s="61"/>
      <c r="W1175" s="61"/>
      <c r="X1175" s="61"/>
      <c r="Y1175" s="61"/>
      <c r="Z1175" s="61"/>
    </row>
    <row r="1176" ht="15.75" customHeight="1">
      <c r="A1176" s="61"/>
      <c r="B1176" s="61"/>
      <c r="C1176" s="61"/>
      <c r="D1176" s="61"/>
      <c r="E1176" s="61"/>
      <c r="F1176" s="61"/>
      <c r="G1176" s="61" t="str">
        <f>IFERROR(__xludf.DUMMYFUNCTION("""COMPUTED_VALUE"""),"")</f>
        <v/>
      </c>
      <c r="H1176" s="63"/>
      <c r="I1176" s="61"/>
      <c r="J1176" s="61"/>
      <c r="K1176" s="61"/>
      <c r="L1176" s="61"/>
      <c r="M1176" s="61"/>
      <c r="N1176" s="61"/>
      <c r="O1176" s="61"/>
      <c r="P1176" s="61"/>
      <c r="Q1176" s="61"/>
      <c r="R1176" s="61"/>
      <c r="S1176" s="61"/>
      <c r="T1176" s="61"/>
      <c r="U1176" s="61"/>
      <c r="V1176" s="61"/>
      <c r="W1176" s="61"/>
      <c r="X1176" s="61"/>
      <c r="Y1176" s="61"/>
      <c r="Z1176" s="61"/>
    </row>
    <row r="1177" ht="15.75" customHeight="1">
      <c r="A1177" s="61"/>
      <c r="B1177" s="61"/>
      <c r="C1177" s="61"/>
      <c r="D1177" s="61"/>
      <c r="E1177" s="61"/>
      <c r="F1177" s="61"/>
      <c r="G1177" s="61" t="str">
        <f>IFERROR(__xludf.DUMMYFUNCTION("""COMPUTED_VALUE"""),"")</f>
        <v/>
      </c>
      <c r="H1177" s="63"/>
      <c r="I1177" s="61"/>
      <c r="J1177" s="61"/>
      <c r="K1177" s="61"/>
      <c r="L1177" s="61"/>
      <c r="M1177" s="61"/>
      <c r="N1177" s="61"/>
      <c r="O1177" s="61"/>
      <c r="P1177" s="61"/>
      <c r="Q1177" s="61"/>
      <c r="R1177" s="61"/>
      <c r="S1177" s="61"/>
      <c r="T1177" s="61"/>
      <c r="U1177" s="61"/>
      <c r="V1177" s="61"/>
      <c r="W1177" s="61"/>
      <c r="X1177" s="61"/>
      <c r="Y1177" s="61"/>
      <c r="Z1177" s="61"/>
    </row>
    <row r="1178" ht="15.75" customHeight="1">
      <c r="A1178" s="61"/>
      <c r="B1178" s="61"/>
      <c r="C1178" s="61"/>
      <c r="D1178" s="61"/>
      <c r="E1178" s="61"/>
      <c r="F1178" s="61"/>
      <c r="G1178" s="61" t="str">
        <f>IFERROR(__xludf.DUMMYFUNCTION("""COMPUTED_VALUE"""),"")</f>
        <v/>
      </c>
      <c r="H1178" s="63"/>
      <c r="I1178" s="61"/>
      <c r="J1178" s="61"/>
      <c r="K1178" s="61"/>
      <c r="L1178" s="61"/>
      <c r="M1178" s="61"/>
      <c r="N1178" s="61"/>
      <c r="O1178" s="61"/>
      <c r="P1178" s="61"/>
      <c r="Q1178" s="61"/>
      <c r="R1178" s="61"/>
      <c r="S1178" s="61"/>
      <c r="T1178" s="61"/>
      <c r="U1178" s="61"/>
      <c r="V1178" s="61"/>
      <c r="W1178" s="61"/>
      <c r="X1178" s="61"/>
      <c r="Y1178" s="61"/>
      <c r="Z1178" s="61"/>
    </row>
    <row r="1179" ht="15.75" customHeight="1">
      <c r="A1179" s="61"/>
      <c r="B1179" s="61"/>
      <c r="C1179" s="61"/>
      <c r="D1179" s="61"/>
      <c r="E1179" s="61"/>
      <c r="F1179" s="61"/>
      <c r="G1179" s="61" t="str">
        <f>IFERROR(__xludf.DUMMYFUNCTION("""COMPUTED_VALUE"""),"")</f>
        <v/>
      </c>
      <c r="H1179" s="63"/>
      <c r="I1179" s="61"/>
      <c r="J1179" s="61"/>
      <c r="K1179" s="61"/>
      <c r="L1179" s="61"/>
      <c r="M1179" s="61"/>
      <c r="N1179" s="61"/>
      <c r="O1179" s="61"/>
      <c r="P1179" s="61"/>
      <c r="Q1179" s="61"/>
      <c r="R1179" s="61"/>
      <c r="S1179" s="61"/>
      <c r="T1179" s="61"/>
      <c r="U1179" s="61"/>
      <c r="V1179" s="61"/>
      <c r="W1179" s="61"/>
      <c r="X1179" s="61"/>
      <c r="Y1179" s="61"/>
      <c r="Z1179" s="61"/>
    </row>
    <row r="1180" ht="15.75" customHeight="1">
      <c r="A1180" s="61"/>
      <c r="B1180" s="61"/>
      <c r="C1180" s="61"/>
      <c r="D1180" s="61"/>
      <c r="E1180" s="61"/>
      <c r="F1180" s="61"/>
      <c r="G1180" s="61" t="str">
        <f>IFERROR(__xludf.DUMMYFUNCTION("""COMPUTED_VALUE"""),"")</f>
        <v/>
      </c>
      <c r="H1180" s="63"/>
      <c r="I1180" s="61"/>
      <c r="J1180" s="61"/>
      <c r="K1180" s="61"/>
      <c r="L1180" s="61"/>
      <c r="M1180" s="61"/>
      <c r="N1180" s="61"/>
      <c r="O1180" s="61"/>
      <c r="P1180" s="61"/>
      <c r="Q1180" s="61"/>
      <c r="R1180" s="61"/>
      <c r="S1180" s="61"/>
      <c r="T1180" s="61"/>
      <c r="U1180" s="61"/>
      <c r="V1180" s="61"/>
      <c r="W1180" s="61"/>
      <c r="X1180" s="61"/>
      <c r="Y1180" s="61"/>
      <c r="Z1180" s="61"/>
    </row>
    <row r="1181" ht="15.75" customHeight="1">
      <c r="A1181" s="61"/>
      <c r="B1181" s="61"/>
      <c r="C1181" s="61"/>
      <c r="D1181" s="61"/>
      <c r="E1181" s="61"/>
      <c r="F1181" s="61"/>
      <c r="G1181" s="61" t="str">
        <f>IFERROR(__xludf.DUMMYFUNCTION("""COMPUTED_VALUE"""),"")</f>
        <v/>
      </c>
      <c r="H1181" s="63"/>
      <c r="I1181" s="61"/>
      <c r="J1181" s="61"/>
      <c r="K1181" s="61"/>
      <c r="L1181" s="61"/>
      <c r="M1181" s="61"/>
      <c r="N1181" s="61"/>
      <c r="O1181" s="61"/>
      <c r="P1181" s="61"/>
      <c r="Q1181" s="61"/>
      <c r="R1181" s="61"/>
      <c r="S1181" s="61"/>
      <c r="T1181" s="61"/>
      <c r="U1181" s="61"/>
      <c r="V1181" s="61"/>
      <c r="W1181" s="61"/>
      <c r="X1181" s="61"/>
      <c r="Y1181" s="61"/>
      <c r="Z1181" s="61"/>
    </row>
    <row r="1182" ht="15.75" customHeight="1">
      <c r="A1182" s="61"/>
      <c r="B1182" s="61"/>
      <c r="C1182" s="61"/>
      <c r="D1182" s="61"/>
      <c r="E1182" s="61"/>
      <c r="F1182" s="61"/>
      <c r="G1182" s="61" t="str">
        <f>IFERROR(__xludf.DUMMYFUNCTION("""COMPUTED_VALUE"""),"")</f>
        <v/>
      </c>
      <c r="H1182" s="63"/>
      <c r="I1182" s="61"/>
      <c r="J1182" s="61"/>
      <c r="K1182" s="61"/>
      <c r="L1182" s="61"/>
      <c r="M1182" s="61"/>
      <c r="N1182" s="61"/>
      <c r="O1182" s="61"/>
      <c r="P1182" s="61"/>
      <c r="Q1182" s="61"/>
      <c r="R1182" s="61"/>
      <c r="S1182" s="61"/>
      <c r="T1182" s="61"/>
      <c r="U1182" s="61"/>
      <c r="V1182" s="61"/>
      <c r="W1182" s="61"/>
      <c r="X1182" s="61"/>
      <c r="Y1182" s="61"/>
      <c r="Z1182" s="61"/>
    </row>
    <row r="1183" ht="15.75" customHeight="1">
      <c r="A1183" s="61"/>
      <c r="B1183" s="61"/>
      <c r="C1183" s="61"/>
      <c r="D1183" s="61"/>
      <c r="E1183" s="61"/>
      <c r="F1183" s="61"/>
      <c r="G1183" s="61" t="str">
        <f>IFERROR(__xludf.DUMMYFUNCTION("""COMPUTED_VALUE"""),"")</f>
        <v/>
      </c>
      <c r="H1183" s="63"/>
      <c r="I1183" s="61"/>
      <c r="J1183" s="61"/>
      <c r="K1183" s="61"/>
      <c r="L1183" s="61"/>
      <c r="M1183" s="61"/>
      <c r="N1183" s="61"/>
      <c r="O1183" s="61"/>
      <c r="P1183" s="61"/>
      <c r="Q1183" s="61"/>
      <c r="R1183" s="61"/>
      <c r="S1183" s="61"/>
      <c r="T1183" s="61"/>
      <c r="U1183" s="61"/>
      <c r="V1183" s="61"/>
      <c r="W1183" s="61"/>
      <c r="X1183" s="61"/>
      <c r="Y1183" s="61"/>
      <c r="Z1183" s="61"/>
    </row>
    <row r="1184" ht="15.75" customHeight="1">
      <c r="A1184" s="61"/>
      <c r="B1184" s="61"/>
      <c r="C1184" s="61"/>
      <c r="D1184" s="61"/>
      <c r="E1184" s="61"/>
      <c r="F1184" s="61"/>
      <c r="G1184" s="61" t="str">
        <f>IFERROR(__xludf.DUMMYFUNCTION("""COMPUTED_VALUE"""),"")</f>
        <v/>
      </c>
      <c r="H1184" s="63"/>
      <c r="I1184" s="61"/>
      <c r="J1184" s="61"/>
      <c r="K1184" s="61"/>
      <c r="L1184" s="61"/>
      <c r="M1184" s="61"/>
      <c r="N1184" s="61"/>
      <c r="O1184" s="61"/>
      <c r="P1184" s="61"/>
      <c r="Q1184" s="61"/>
      <c r="R1184" s="61"/>
      <c r="S1184" s="61"/>
      <c r="T1184" s="61"/>
      <c r="U1184" s="61"/>
      <c r="V1184" s="61"/>
      <c r="W1184" s="61"/>
      <c r="X1184" s="61"/>
      <c r="Y1184" s="61"/>
      <c r="Z1184" s="61"/>
    </row>
    <row r="1185" ht="15.75" customHeight="1">
      <c r="A1185" s="61"/>
      <c r="B1185" s="61"/>
      <c r="C1185" s="61"/>
      <c r="D1185" s="61"/>
      <c r="E1185" s="61"/>
      <c r="F1185" s="61"/>
      <c r="G1185" s="61" t="str">
        <f>IFERROR(__xludf.DUMMYFUNCTION("""COMPUTED_VALUE"""),"")</f>
        <v/>
      </c>
      <c r="H1185" s="63"/>
      <c r="I1185" s="61"/>
      <c r="J1185" s="61"/>
      <c r="K1185" s="61"/>
      <c r="L1185" s="61"/>
      <c r="M1185" s="61"/>
      <c r="N1185" s="61"/>
      <c r="O1185" s="61"/>
      <c r="P1185" s="61"/>
      <c r="Q1185" s="61"/>
      <c r="R1185" s="61"/>
      <c r="S1185" s="61"/>
      <c r="T1185" s="61"/>
      <c r="U1185" s="61"/>
      <c r="V1185" s="61"/>
      <c r="W1185" s="61"/>
      <c r="X1185" s="61"/>
      <c r="Y1185" s="61"/>
      <c r="Z1185" s="61"/>
    </row>
    <row r="1186" ht="15.75" customHeight="1">
      <c r="A1186" s="61"/>
      <c r="B1186" s="61"/>
      <c r="C1186" s="61"/>
      <c r="D1186" s="61"/>
      <c r="E1186" s="61"/>
      <c r="F1186" s="61"/>
      <c r="G1186" s="61" t="str">
        <f>IFERROR(__xludf.DUMMYFUNCTION("""COMPUTED_VALUE"""),"")</f>
        <v/>
      </c>
      <c r="H1186" s="63"/>
      <c r="I1186" s="61"/>
      <c r="J1186" s="61"/>
      <c r="K1186" s="61"/>
      <c r="L1186" s="61"/>
      <c r="M1186" s="61"/>
      <c r="N1186" s="61"/>
      <c r="O1186" s="61"/>
      <c r="P1186" s="61"/>
      <c r="Q1186" s="61"/>
      <c r="R1186" s="61"/>
      <c r="S1186" s="61"/>
      <c r="T1186" s="61"/>
      <c r="U1186" s="61"/>
      <c r="V1186" s="61"/>
      <c r="W1186" s="61"/>
      <c r="X1186" s="61"/>
      <c r="Y1186" s="61"/>
      <c r="Z1186" s="61"/>
    </row>
    <row r="1187" ht="15.75" customHeight="1">
      <c r="A1187" s="61"/>
      <c r="B1187" s="61"/>
      <c r="C1187" s="61"/>
      <c r="D1187" s="61"/>
      <c r="E1187" s="61"/>
      <c r="F1187" s="61"/>
      <c r="G1187" s="61" t="str">
        <f>IFERROR(__xludf.DUMMYFUNCTION("""COMPUTED_VALUE"""),"")</f>
        <v/>
      </c>
      <c r="H1187" s="63"/>
      <c r="I1187" s="61"/>
      <c r="J1187" s="61"/>
      <c r="K1187" s="61"/>
      <c r="L1187" s="61"/>
      <c r="M1187" s="61"/>
      <c r="N1187" s="61"/>
      <c r="O1187" s="61"/>
      <c r="P1187" s="61"/>
      <c r="Q1187" s="61"/>
      <c r="R1187" s="61"/>
      <c r="S1187" s="61"/>
      <c r="T1187" s="61"/>
      <c r="U1187" s="61"/>
      <c r="V1187" s="61"/>
      <c r="W1187" s="61"/>
      <c r="X1187" s="61"/>
      <c r="Y1187" s="61"/>
      <c r="Z1187" s="61"/>
    </row>
    <row r="1188" ht="15.75" customHeight="1">
      <c r="A1188" s="61"/>
      <c r="B1188" s="61"/>
      <c r="C1188" s="61"/>
      <c r="D1188" s="61"/>
      <c r="E1188" s="61"/>
      <c r="F1188" s="61"/>
      <c r="G1188" s="61" t="str">
        <f>IFERROR(__xludf.DUMMYFUNCTION("""COMPUTED_VALUE"""),"")</f>
        <v/>
      </c>
      <c r="H1188" s="63"/>
      <c r="I1188" s="61"/>
      <c r="J1188" s="61"/>
      <c r="K1188" s="61"/>
      <c r="L1188" s="61"/>
      <c r="M1188" s="61"/>
      <c r="N1188" s="61"/>
      <c r="O1188" s="61"/>
      <c r="P1188" s="61"/>
      <c r="Q1188" s="61"/>
      <c r="R1188" s="61"/>
      <c r="S1188" s="61"/>
      <c r="T1188" s="61"/>
      <c r="U1188" s="61"/>
      <c r="V1188" s="61"/>
      <c r="W1188" s="61"/>
      <c r="X1188" s="61"/>
      <c r="Y1188" s="61"/>
      <c r="Z1188" s="61"/>
    </row>
    <row r="1189" ht="15.75" customHeight="1">
      <c r="A1189" s="61"/>
      <c r="B1189" s="61"/>
      <c r="C1189" s="61"/>
      <c r="D1189" s="61"/>
      <c r="E1189" s="61"/>
      <c r="F1189" s="61"/>
      <c r="G1189" s="61" t="str">
        <f>IFERROR(__xludf.DUMMYFUNCTION("""COMPUTED_VALUE"""),"")</f>
        <v/>
      </c>
      <c r="H1189" s="63"/>
      <c r="I1189" s="61"/>
      <c r="J1189" s="61"/>
      <c r="K1189" s="61"/>
      <c r="L1189" s="61"/>
      <c r="M1189" s="61"/>
      <c r="N1189" s="61"/>
      <c r="O1189" s="61"/>
      <c r="P1189" s="61"/>
      <c r="Q1189" s="61"/>
      <c r="R1189" s="61"/>
      <c r="S1189" s="61"/>
      <c r="T1189" s="61"/>
      <c r="U1189" s="61"/>
      <c r="V1189" s="61"/>
      <c r="W1189" s="61"/>
      <c r="X1189" s="61"/>
      <c r="Y1189" s="61"/>
      <c r="Z1189" s="61"/>
    </row>
    <row r="1190" ht="15.75" customHeight="1">
      <c r="A1190" s="61"/>
      <c r="B1190" s="61"/>
      <c r="C1190" s="61"/>
      <c r="D1190" s="61"/>
      <c r="E1190" s="61"/>
      <c r="F1190" s="61"/>
      <c r="G1190" s="61" t="str">
        <f>IFERROR(__xludf.DUMMYFUNCTION("""COMPUTED_VALUE"""),"")</f>
        <v/>
      </c>
      <c r="H1190" s="63"/>
      <c r="I1190" s="61"/>
      <c r="J1190" s="61"/>
      <c r="K1190" s="61"/>
      <c r="L1190" s="61"/>
      <c r="M1190" s="61"/>
      <c r="N1190" s="61"/>
      <c r="O1190" s="61"/>
      <c r="P1190" s="61"/>
      <c r="Q1190" s="61"/>
      <c r="R1190" s="61"/>
      <c r="S1190" s="61"/>
      <c r="T1190" s="61"/>
      <c r="U1190" s="61"/>
      <c r="V1190" s="61"/>
      <c r="W1190" s="61"/>
      <c r="X1190" s="61"/>
      <c r="Y1190" s="61"/>
      <c r="Z1190" s="61"/>
    </row>
    <row r="1191" ht="15.75" customHeight="1">
      <c r="A1191" s="61"/>
      <c r="B1191" s="61"/>
      <c r="C1191" s="61"/>
      <c r="D1191" s="61"/>
      <c r="E1191" s="61"/>
      <c r="F1191" s="61"/>
      <c r="G1191" s="61" t="str">
        <f>IFERROR(__xludf.DUMMYFUNCTION("""COMPUTED_VALUE"""),"")</f>
        <v/>
      </c>
      <c r="H1191" s="63"/>
      <c r="I1191" s="61"/>
      <c r="J1191" s="61"/>
      <c r="K1191" s="61"/>
      <c r="L1191" s="61"/>
      <c r="M1191" s="61"/>
      <c r="N1191" s="61"/>
      <c r="O1191" s="61"/>
      <c r="P1191" s="61"/>
      <c r="Q1191" s="61"/>
      <c r="R1191" s="61"/>
      <c r="S1191" s="61"/>
      <c r="T1191" s="61"/>
      <c r="U1191" s="61"/>
      <c r="V1191" s="61"/>
      <c r="W1191" s="61"/>
      <c r="X1191" s="61"/>
      <c r="Y1191" s="61"/>
      <c r="Z1191" s="61"/>
    </row>
    <row r="1192" ht="15.75" customHeight="1">
      <c r="A1192" s="61"/>
      <c r="B1192" s="61"/>
      <c r="C1192" s="61"/>
      <c r="D1192" s="61"/>
      <c r="E1192" s="61"/>
      <c r="F1192" s="61"/>
      <c r="G1192" s="61" t="str">
        <f>IFERROR(__xludf.DUMMYFUNCTION("""COMPUTED_VALUE"""),"")</f>
        <v/>
      </c>
      <c r="H1192" s="63"/>
      <c r="I1192" s="61"/>
      <c r="J1192" s="61"/>
      <c r="K1192" s="61"/>
      <c r="L1192" s="61"/>
      <c r="M1192" s="61"/>
      <c r="N1192" s="61"/>
      <c r="O1192" s="61"/>
      <c r="P1192" s="61"/>
      <c r="Q1192" s="61"/>
      <c r="R1192" s="61"/>
      <c r="S1192" s="61"/>
      <c r="T1192" s="61"/>
      <c r="U1192" s="61"/>
      <c r="V1192" s="61"/>
      <c r="W1192" s="61"/>
      <c r="X1192" s="61"/>
      <c r="Y1192" s="61"/>
      <c r="Z1192" s="61"/>
    </row>
    <row r="1193" ht="15.75" customHeight="1">
      <c r="A1193" s="61"/>
      <c r="B1193" s="61"/>
      <c r="C1193" s="61"/>
      <c r="D1193" s="61"/>
      <c r="E1193" s="61"/>
      <c r="F1193" s="61"/>
      <c r="G1193" s="61" t="str">
        <f>IFERROR(__xludf.DUMMYFUNCTION("""COMPUTED_VALUE"""),"")</f>
        <v/>
      </c>
      <c r="H1193" s="63"/>
      <c r="I1193" s="61"/>
      <c r="J1193" s="61"/>
      <c r="K1193" s="61"/>
      <c r="L1193" s="61"/>
      <c r="M1193" s="61"/>
      <c r="N1193" s="61"/>
      <c r="O1193" s="61"/>
      <c r="P1193" s="61"/>
      <c r="Q1193" s="61"/>
      <c r="R1193" s="61"/>
      <c r="S1193" s="61"/>
      <c r="T1193" s="61"/>
      <c r="U1193" s="61"/>
      <c r="V1193" s="61"/>
      <c r="W1193" s="61"/>
      <c r="X1193" s="61"/>
      <c r="Y1193" s="61"/>
      <c r="Z1193" s="61"/>
    </row>
    <row r="1194" ht="15.75" customHeight="1">
      <c r="A1194" s="61"/>
      <c r="B1194" s="61"/>
      <c r="C1194" s="61"/>
      <c r="D1194" s="61"/>
      <c r="E1194" s="61"/>
      <c r="F1194" s="61"/>
      <c r="G1194" s="61" t="str">
        <f>IFERROR(__xludf.DUMMYFUNCTION("""COMPUTED_VALUE"""),"")</f>
        <v/>
      </c>
      <c r="H1194" s="63"/>
      <c r="I1194" s="61"/>
      <c r="J1194" s="61"/>
      <c r="K1194" s="61"/>
      <c r="L1194" s="61"/>
      <c r="M1194" s="61"/>
      <c r="N1194" s="61"/>
      <c r="O1194" s="61"/>
      <c r="P1194" s="61"/>
      <c r="Q1194" s="61"/>
      <c r="R1194" s="61"/>
      <c r="S1194" s="61"/>
      <c r="T1194" s="61"/>
      <c r="U1194" s="61"/>
      <c r="V1194" s="61"/>
      <c r="W1194" s="61"/>
      <c r="X1194" s="61"/>
      <c r="Y1194" s="61"/>
      <c r="Z1194" s="61"/>
    </row>
    <row r="1195" ht="15.75" customHeight="1">
      <c r="A1195" s="61"/>
      <c r="B1195" s="61"/>
      <c r="C1195" s="61"/>
      <c r="D1195" s="61"/>
      <c r="E1195" s="61"/>
      <c r="F1195" s="61"/>
      <c r="G1195" s="61" t="str">
        <f>IFERROR(__xludf.DUMMYFUNCTION("""COMPUTED_VALUE"""),"")</f>
        <v/>
      </c>
      <c r="H1195" s="63"/>
      <c r="I1195" s="61"/>
      <c r="J1195" s="61"/>
      <c r="K1195" s="61"/>
      <c r="L1195" s="61"/>
      <c r="M1195" s="61"/>
      <c r="N1195" s="61"/>
      <c r="O1195" s="61"/>
      <c r="P1195" s="61"/>
      <c r="Q1195" s="61"/>
      <c r="R1195" s="61"/>
      <c r="S1195" s="61"/>
      <c r="T1195" s="61"/>
      <c r="U1195" s="61"/>
      <c r="V1195" s="61"/>
      <c r="W1195" s="61"/>
      <c r="X1195" s="61"/>
      <c r="Y1195" s="61"/>
      <c r="Z1195" s="61"/>
    </row>
    <row r="1196" ht="15.75" customHeight="1">
      <c r="A1196" s="61"/>
      <c r="B1196" s="61"/>
      <c r="C1196" s="61"/>
      <c r="D1196" s="61"/>
      <c r="E1196" s="61"/>
      <c r="F1196" s="61"/>
      <c r="G1196" s="61" t="str">
        <f>IFERROR(__xludf.DUMMYFUNCTION("""COMPUTED_VALUE"""),"")</f>
        <v/>
      </c>
      <c r="H1196" s="63"/>
      <c r="I1196" s="61"/>
      <c r="J1196" s="61"/>
      <c r="K1196" s="61"/>
      <c r="L1196" s="61"/>
      <c r="M1196" s="61"/>
      <c r="N1196" s="61"/>
      <c r="O1196" s="61"/>
      <c r="P1196" s="61"/>
      <c r="Q1196" s="61"/>
      <c r="R1196" s="61"/>
      <c r="S1196" s="61"/>
      <c r="T1196" s="61"/>
      <c r="U1196" s="61"/>
      <c r="V1196" s="61"/>
      <c r="W1196" s="61"/>
      <c r="X1196" s="61"/>
      <c r="Y1196" s="61"/>
      <c r="Z1196" s="61"/>
    </row>
    <row r="1197" ht="15.75" customHeight="1">
      <c r="A1197" s="61"/>
      <c r="B1197" s="61"/>
      <c r="C1197" s="61"/>
      <c r="D1197" s="61"/>
      <c r="E1197" s="61"/>
      <c r="F1197" s="61"/>
      <c r="G1197" s="61" t="str">
        <f>IFERROR(__xludf.DUMMYFUNCTION("""COMPUTED_VALUE"""),"")</f>
        <v/>
      </c>
      <c r="H1197" s="63"/>
      <c r="I1197" s="61"/>
      <c r="J1197" s="61"/>
      <c r="K1197" s="61"/>
      <c r="L1197" s="61"/>
      <c r="M1197" s="61"/>
      <c r="N1197" s="61"/>
      <c r="O1197" s="61"/>
      <c r="P1197" s="61"/>
      <c r="Q1197" s="61"/>
      <c r="R1197" s="61"/>
      <c r="S1197" s="61"/>
      <c r="T1197" s="61"/>
      <c r="U1197" s="61"/>
      <c r="V1197" s="61"/>
      <c r="W1197" s="61"/>
      <c r="X1197" s="61"/>
      <c r="Y1197" s="61"/>
      <c r="Z1197" s="61"/>
    </row>
    <row r="1198" ht="15.75" customHeight="1">
      <c r="A1198" s="61"/>
      <c r="B1198" s="61"/>
      <c r="C1198" s="61"/>
      <c r="D1198" s="61"/>
      <c r="E1198" s="61"/>
      <c r="F1198" s="61"/>
      <c r="G1198" s="61" t="str">
        <f>IFERROR(__xludf.DUMMYFUNCTION("""COMPUTED_VALUE"""),"")</f>
        <v/>
      </c>
      <c r="H1198" s="63"/>
      <c r="I1198" s="61"/>
      <c r="J1198" s="61"/>
      <c r="K1198" s="61"/>
      <c r="L1198" s="61"/>
      <c r="M1198" s="61"/>
      <c r="N1198" s="61"/>
      <c r="O1198" s="61"/>
      <c r="P1198" s="61"/>
      <c r="Q1198" s="61"/>
      <c r="R1198" s="61"/>
      <c r="S1198" s="61"/>
      <c r="T1198" s="61"/>
      <c r="U1198" s="61"/>
      <c r="V1198" s="61"/>
      <c r="W1198" s="61"/>
      <c r="X1198" s="61"/>
      <c r="Y1198" s="61"/>
      <c r="Z1198" s="61"/>
    </row>
    <row r="1199" ht="15.75" customHeight="1">
      <c r="A1199" s="61"/>
      <c r="B1199" s="61"/>
      <c r="C1199" s="61"/>
      <c r="D1199" s="61"/>
      <c r="E1199" s="61"/>
      <c r="F1199" s="61"/>
      <c r="G1199" s="61" t="str">
        <f>IFERROR(__xludf.DUMMYFUNCTION("""COMPUTED_VALUE"""),"")</f>
        <v/>
      </c>
      <c r="H1199" s="63"/>
      <c r="I1199" s="61"/>
      <c r="J1199" s="61"/>
      <c r="K1199" s="61"/>
      <c r="L1199" s="61"/>
      <c r="M1199" s="61"/>
      <c r="N1199" s="61"/>
      <c r="O1199" s="61"/>
      <c r="P1199" s="61"/>
      <c r="Q1199" s="61"/>
      <c r="R1199" s="61"/>
      <c r="S1199" s="61"/>
      <c r="T1199" s="61"/>
      <c r="U1199" s="61"/>
      <c r="V1199" s="61"/>
      <c r="W1199" s="61"/>
      <c r="X1199" s="61"/>
      <c r="Y1199" s="61"/>
      <c r="Z1199" s="61"/>
    </row>
    <row r="1200" ht="15.75" customHeight="1">
      <c r="A1200" s="61"/>
      <c r="B1200" s="61"/>
      <c r="C1200" s="61"/>
      <c r="D1200" s="61"/>
      <c r="E1200" s="61"/>
      <c r="F1200" s="61"/>
      <c r="G1200" s="61" t="str">
        <f>IFERROR(__xludf.DUMMYFUNCTION("""COMPUTED_VALUE"""),"")</f>
        <v/>
      </c>
      <c r="H1200" s="63"/>
      <c r="I1200" s="61"/>
      <c r="J1200" s="61"/>
      <c r="K1200" s="61"/>
      <c r="L1200" s="61"/>
      <c r="M1200" s="61"/>
      <c r="N1200" s="61"/>
      <c r="O1200" s="61"/>
      <c r="P1200" s="61"/>
      <c r="Q1200" s="61"/>
      <c r="R1200" s="61"/>
      <c r="S1200" s="61"/>
      <c r="T1200" s="61"/>
      <c r="U1200" s="61"/>
      <c r="V1200" s="61"/>
      <c r="W1200" s="61"/>
      <c r="X1200" s="61"/>
      <c r="Y1200" s="61"/>
      <c r="Z1200" s="61"/>
    </row>
    <row r="1201" ht="15.75" customHeight="1">
      <c r="A1201" s="61"/>
      <c r="B1201" s="61"/>
      <c r="C1201" s="61"/>
      <c r="D1201" s="61"/>
      <c r="E1201" s="61"/>
      <c r="F1201" s="61"/>
      <c r="G1201" s="61" t="str">
        <f>IFERROR(__xludf.DUMMYFUNCTION("""COMPUTED_VALUE"""),"")</f>
        <v/>
      </c>
      <c r="H1201" s="63"/>
      <c r="I1201" s="61"/>
      <c r="J1201" s="61"/>
      <c r="K1201" s="61"/>
      <c r="L1201" s="61"/>
      <c r="M1201" s="61"/>
      <c r="N1201" s="61"/>
      <c r="O1201" s="61"/>
      <c r="P1201" s="61"/>
      <c r="Q1201" s="61"/>
      <c r="R1201" s="61"/>
      <c r="S1201" s="61"/>
      <c r="T1201" s="61"/>
      <c r="U1201" s="61"/>
      <c r="V1201" s="61"/>
      <c r="W1201" s="61"/>
      <c r="X1201" s="61"/>
      <c r="Y1201" s="61"/>
      <c r="Z1201" s="61"/>
    </row>
    <row r="1202" ht="15.75" customHeight="1">
      <c r="A1202" s="61"/>
      <c r="B1202" s="61"/>
      <c r="C1202" s="61"/>
      <c r="D1202" s="61"/>
      <c r="E1202" s="61"/>
      <c r="F1202" s="61"/>
      <c r="G1202" s="61" t="str">
        <f>IFERROR(__xludf.DUMMYFUNCTION("""COMPUTED_VALUE"""),"")</f>
        <v/>
      </c>
      <c r="H1202" s="63"/>
      <c r="I1202" s="61"/>
      <c r="J1202" s="61"/>
      <c r="K1202" s="61"/>
      <c r="L1202" s="61"/>
      <c r="M1202" s="61"/>
      <c r="N1202" s="61"/>
      <c r="O1202" s="61"/>
      <c r="P1202" s="61"/>
      <c r="Q1202" s="61"/>
      <c r="R1202" s="61"/>
      <c r="S1202" s="61"/>
      <c r="T1202" s="61"/>
      <c r="U1202" s="61"/>
      <c r="V1202" s="61"/>
      <c r="W1202" s="61"/>
      <c r="X1202" s="61"/>
      <c r="Y1202" s="61"/>
      <c r="Z1202" s="61"/>
    </row>
    <row r="1203" ht="15.75" customHeight="1">
      <c r="A1203" s="61"/>
      <c r="B1203" s="61"/>
      <c r="C1203" s="61"/>
      <c r="D1203" s="61"/>
      <c r="E1203" s="61"/>
      <c r="F1203" s="61"/>
      <c r="G1203" s="61" t="str">
        <f>IFERROR(__xludf.DUMMYFUNCTION("""COMPUTED_VALUE"""),"")</f>
        <v/>
      </c>
      <c r="H1203" s="63"/>
      <c r="I1203" s="61"/>
      <c r="J1203" s="61"/>
      <c r="K1203" s="61"/>
      <c r="L1203" s="61"/>
      <c r="M1203" s="61"/>
      <c r="N1203" s="61"/>
      <c r="O1203" s="61"/>
      <c r="P1203" s="61"/>
      <c r="Q1203" s="61"/>
      <c r="R1203" s="61"/>
      <c r="S1203" s="61"/>
      <c r="T1203" s="61"/>
      <c r="U1203" s="61"/>
      <c r="V1203" s="61"/>
      <c r="W1203" s="61"/>
      <c r="X1203" s="61"/>
      <c r="Y1203" s="61"/>
      <c r="Z1203" s="61"/>
    </row>
    <row r="1204" ht="15.75" customHeight="1">
      <c r="A1204" s="61"/>
      <c r="B1204" s="61"/>
      <c r="C1204" s="61"/>
      <c r="D1204" s="61"/>
      <c r="E1204" s="61"/>
      <c r="F1204" s="61"/>
      <c r="G1204" s="61" t="str">
        <f>IFERROR(__xludf.DUMMYFUNCTION("""COMPUTED_VALUE"""),"")</f>
        <v/>
      </c>
      <c r="H1204" s="63"/>
      <c r="I1204" s="61"/>
      <c r="J1204" s="61"/>
      <c r="K1204" s="61"/>
      <c r="L1204" s="61"/>
      <c r="M1204" s="61"/>
      <c r="N1204" s="61"/>
      <c r="O1204" s="61"/>
      <c r="P1204" s="61"/>
      <c r="Q1204" s="61"/>
      <c r="R1204" s="61"/>
      <c r="S1204" s="61"/>
      <c r="T1204" s="61"/>
      <c r="U1204" s="61"/>
      <c r="V1204" s="61"/>
      <c r="W1204" s="61"/>
      <c r="X1204" s="61"/>
      <c r="Y1204" s="61"/>
      <c r="Z1204" s="61"/>
    </row>
    <row r="1205" ht="15.75" customHeight="1">
      <c r="A1205" s="61"/>
      <c r="B1205" s="61"/>
      <c r="C1205" s="61"/>
      <c r="D1205" s="61"/>
      <c r="E1205" s="61"/>
      <c r="F1205" s="61"/>
      <c r="G1205" s="61" t="str">
        <f>IFERROR(__xludf.DUMMYFUNCTION("""COMPUTED_VALUE"""),"")</f>
        <v/>
      </c>
      <c r="H1205" s="63"/>
      <c r="I1205" s="61"/>
      <c r="J1205" s="61"/>
      <c r="K1205" s="61"/>
      <c r="L1205" s="61"/>
      <c r="M1205" s="61"/>
      <c r="N1205" s="61"/>
      <c r="O1205" s="61"/>
      <c r="P1205" s="61"/>
      <c r="Q1205" s="61"/>
      <c r="R1205" s="61"/>
      <c r="S1205" s="61"/>
      <c r="T1205" s="61"/>
      <c r="U1205" s="61"/>
      <c r="V1205" s="61"/>
      <c r="W1205" s="61"/>
      <c r="X1205" s="61"/>
      <c r="Y1205" s="61"/>
      <c r="Z1205" s="61"/>
    </row>
    <row r="1206" ht="15.75" customHeight="1">
      <c r="A1206" s="61"/>
      <c r="B1206" s="61"/>
      <c r="C1206" s="61"/>
      <c r="D1206" s="61"/>
      <c r="E1206" s="61"/>
      <c r="F1206" s="61"/>
      <c r="G1206" s="61" t="str">
        <f>IFERROR(__xludf.DUMMYFUNCTION("""COMPUTED_VALUE"""),"")</f>
        <v/>
      </c>
      <c r="H1206" s="63"/>
      <c r="I1206" s="61"/>
      <c r="J1206" s="61"/>
      <c r="K1206" s="61"/>
      <c r="L1206" s="61"/>
      <c r="M1206" s="61"/>
      <c r="N1206" s="61"/>
      <c r="O1206" s="61"/>
      <c r="P1206" s="61"/>
      <c r="Q1206" s="61"/>
      <c r="R1206" s="61"/>
      <c r="S1206" s="61"/>
      <c r="T1206" s="61"/>
      <c r="U1206" s="61"/>
      <c r="V1206" s="61"/>
      <c r="W1206" s="61"/>
      <c r="X1206" s="61"/>
      <c r="Y1206" s="61"/>
      <c r="Z1206" s="61"/>
    </row>
    <row r="1207" ht="15.75" customHeight="1">
      <c r="A1207" s="61"/>
      <c r="B1207" s="61"/>
      <c r="C1207" s="61"/>
      <c r="D1207" s="61"/>
      <c r="E1207" s="61"/>
      <c r="F1207" s="61"/>
      <c r="G1207" s="61" t="str">
        <f>IFERROR(__xludf.DUMMYFUNCTION("""COMPUTED_VALUE"""),"")</f>
        <v/>
      </c>
      <c r="H1207" s="63"/>
      <c r="I1207" s="61"/>
      <c r="J1207" s="61"/>
      <c r="K1207" s="61"/>
      <c r="L1207" s="61"/>
      <c r="M1207" s="61"/>
      <c r="N1207" s="61"/>
      <c r="O1207" s="61"/>
      <c r="P1207" s="61"/>
      <c r="Q1207" s="61"/>
      <c r="R1207" s="61"/>
      <c r="S1207" s="61"/>
      <c r="T1207" s="61"/>
      <c r="U1207" s="61"/>
      <c r="V1207" s="61"/>
      <c r="W1207" s="61"/>
      <c r="X1207" s="61"/>
      <c r="Y1207" s="61"/>
      <c r="Z1207" s="61"/>
    </row>
    <row r="1208" ht="15.75" customHeight="1">
      <c r="A1208" s="61"/>
      <c r="B1208" s="61"/>
      <c r="C1208" s="61"/>
      <c r="D1208" s="61"/>
      <c r="E1208" s="61"/>
      <c r="F1208" s="61"/>
      <c r="G1208" s="61" t="str">
        <f>IFERROR(__xludf.DUMMYFUNCTION("""COMPUTED_VALUE"""),"")</f>
        <v/>
      </c>
      <c r="H1208" s="63"/>
      <c r="I1208" s="61"/>
      <c r="J1208" s="61"/>
      <c r="K1208" s="61"/>
      <c r="L1208" s="61"/>
      <c r="M1208" s="61"/>
      <c r="N1208" s="61"/>
      <c r="O1208" s="61"/>
      <c r="P1208" s="61"/>
      <c r="Q1208" s="61"/>
      <c r="R1208" s="61"/>
      <c r="S1208" s="61"/>
      <c r="T1208" s="61"/>
      <c r="U1208" s="61"/>
      <c r="V1208" s="61"/>
      <c r="W1208" s="61"/>
      <c r="X1208" s="61"/>
      <c r="Y1208" s="61"/>
      <c r="Z1208" s="61"/>
    </row>
    <row r="1209" ht="15.75" customHeight="1">
      <c r="A1209" s="61"/>
      <c r="B1209" s="61"/>
      <c r="C1209" s="61"/>
      <c r="D1209" s="61"/>
      <c r="E1209" s="61"/>
      <c r="F1209" s="61"/>
      <c r="G1209" s="61" t="str">
        <f>IFERROR(__xludf.DUMMYFUNCTION("""COMPUTED_VALUE"""),"")</f>
        <v/>
      </c>
      <c r="H1209" s="63"/>
      <c r="I1209" s="61"/>
      <c r="J1209" s="61"/>
      <c r="K1209" s="61"/>
      <c r="L1209" s="61"/>
      <c r="M1209" s="61"/>
      <c r="N1209" s="61"/>
      <c r="O1209" s="61"/>
      <c r="P1209" s="61"/>
      <c r="Q1209" s="61"/>
      <c r="R1209" s="61"/>
      <c r="S1209" s="61"/>
      <c r="T1209" s="61"/>
      <c r="U1209" s="61"/>
      <c r="V1209" s="61"/>
      <c r="W1209" s="61"/>
      <c r="X1209" s="61"/>
      <c r="Y1209" s="61"/>
      <c r="Z1209" s="61"/>
    </row>
    <row r="1210" ht="15.75" customHeight="1">
      <c r="A1210" s="61"/>
      <c r="B1210" s="61"/>
      <c r="C1210" s="61"/>
      <c r="D1210" s="61"/>
      <c r="E1210" s="61"/>
      <c r="F1210" s="61"/>
      <c r="G1210" s="61" t="str">
        <f>IFERROR(__xludf.DUMMYFUNCTION("""COMPUTED_VALUE"""),"")</f>
        <v/>
      </c>
      <c r="H1210" s="63"/>
      <c r="I1210" s="61"/>
      <c r="J1210" s="61"/>
      <c r="K1210" s="61"/>
      <c r="L1210" s="61"/>
      <c r="M1210" s="61"/>
      <c r="N1210" s="61"/>
      <c r="O1210" s="61"/>
      <c r="P1210" s="61"/>
      <c r="Q1210" s="61"/>
      <c r="R1210" s="61"/>
      <c r="S1210" s="61"/>
      <c r="T1210" s="61"/>
      <c r="U1210" s="61"/>
      <c r="V1210" s="61"/>
      <c r="W1210" s="61"/>
      <c r="X1210" s="61"/>
      <c r="Y1210" s="61"/>
      <c r="Z1210" s="61"/>
    </row>
    <row r="1211" ht="15.75" customHeight="1">
      <c r="A1211" s="61"/>
      <c r="B1211" s="61"/>
      <c r="C1211" s="61"/>
      <c r="D1211" s="61"/>
      <c r="E1211" s="61"/>
      <c r="F1211" s="61"/>
      <c r="G1211" s="61" t="str">
        <f>IFERROR(__xludf.DUMMYFUNCTION("""COMPUTED_VALUE"""),"")</f>
        <v/>
      </c>
      <c r="H1211" s="63"/>
      <c r="I1211" s="61"/>
      <c r="J1211" s="61"/>
      <c r="K1211" s="61"/>
      <c r="L1211" s="61"/>
      <c r="M1211" s="61"/>
      <c r="N1211" s="61"/>
      <c r="O1211" s="61"/>
      <c r="P1211" s="61"/>
      <c r="Q1211" s="61"/>
      <c r="R1211" s="61"/>
      <c r="S1211" s="61"/>
      <c r="T1211" s="61"/>
      <c r="U1211" s="61"/>
      <c r="V1211" s="61"/>
      <c r="W1211" s="61"/>
      <c r="X1211" s="61"/>
      <c r="Y1211" s="61"/>
      <c r="Z1211" s="61"/>
    </row>
    <row r="1212" ht="15.75" customHeight="1">
      <c r="A1212" s="61"/>
      <c r="B1212" s="61"/>
      <c r="C1212" s="61"/>
      <c r="D1212" s="61"/>
      <c r="E1212" s="61"/>
      <c r="F1212" s="61"/>
      <c r="G1212" s="61" t="str">
        <f>IFERROR(__xludf.DUMMYFUNCTION("""COMPUTED_VALUE"""),"")</f>
        <v/>
      </c>
      <c r="H1212" s="63"/>
      <c r="I1212" s="61"/>
      <c r="J1212" s="61"/>
      <c r="K1212" s="61"/>
      <c r="L1212" s="61"/>
      <c r="M1212" s="61"/>
      <c r="N1212" s="61"/>
      <c r="O1212" s="61"/>
      <c r="P1212" s="61"/>
      <c r="Q1212" s="61"/>
      <c r="R1212" s="61"/>
      <c r="S1212" s="61"/>
      <c r="T1212" s="61"/>
      <c r="U1212" s="61"/>
      <c r="V1212" s="61"/>
      <c r="W1212" s="61"/>
      <c r="X1212" s="61"/>
      <c r="Y1212" s="61"/>
      <c r="Z1212" s="61"/>
    </row>
    <row r="1213" ht="15.75" customHeight="1">
      <c r="A1213" s="61"/>
      <c r="B1213" s="61"/>
      <c r="C1213" s="61"/>
      <c r="D1213" s="61"/>
      <c r="E1213" s="61"/>
      <c r="F1213" s="61"/>
      <c r="G1213" s="61" t="str">
        <f>IFERROR(__xludf.DUMMYFUNCTION("""COMPUTED_VALUE"""),"")</f>
        <v/>
      </c>
      <c r="H1213" s="63"/>
      <c r="I1213" s="61"/>
      <c r="J1213" s="61"/>
      <c r="K1213" s="61"/>
      <c r="L1213" s="61"/>
      <c r="M1213" s="61"/>
      <c r="N1213" s="61"/>
      <c r="O1213" s="61"/>
      <c r="P1213" s="61"/>
      <c r="Q1213" s="61"/>
      <c r="R1213" s="61"/>
      <c r="S1213" s="61"/>
      <c r="T1213" s="61"/>
      <c r="U1213" s="61"/>
      <c r="V1213" s="61"/>
      <c r="W1213" s="61"/>
      <c r="X1213" s="61"/>
      <c r="Y1213" s="61"/>
      <c r="Z1213" s="61"/>
    </row>
    <row r="1214" ht="15.75" customHeight="1">
      <c r="A1214" s="61"/>
      <c r="B1214" s="61"/>
      <c r="C1214" s="61"/>
      <c r="D1214" s="61"/>
      <c r="E1214" s="61"/>
      <c r="F1214" s="61"/>
      <c r="G1214" s="61" t="str">
        <f>IFERROR(__xludf.DUMMYFUNCTION("""COMPUTED_VALUE"""),"")</f>
        <v/>
      </c>
      <c r="H1214" s="63"/>
      <c r="I1214" s="61"/>
      <c r="J1214" s="61"/>
      <c r="K1214" s="61"/>
      <c r="L1214" s="61"/>
      <c r="M1214" s="61"/>
      <c r="N1214" s="61"/>
      <c r="O1214" s="61"/>
      <c r="P1214" s="61"/>
      <c r="Q1214" s="61"/>
      <c r="R1214" s="61"/>
      <c r="S1214" s="61"/>
      <c r="T1214" s="61"/>
      <c r="U1214" s="61"/>
      <c r="V1214" s="61"/>
      <c r="W1214" s="61"/>
      <c r="X1214" s="61"/>
      <c r="Y1214" s="61"/>
      <c r="Z1214" s="61"/>
    </row>
    <row r="1215" ht="15.75" customHeight="1">
      <c r="A1215" s="61"/>
      <c r="B1215" s="61"/>
      <c r="C1215" s="61"/>
      <c r="D1215" s="61"/>
      <c r="E1215" s="61"/>
      <c r="F1215" s="61"/>
      <c r="G1215" s="61" t="str">
        <f>IFERROR(__xludf.DUMMYFUNCTION("""COMPUTED_VALUE"""),"")</f>
        <v/>
      </c>
      <c r="H1215" s="63"/>
      <c r="I1215" s="61"/>
      <c r="J1215" s="61"/>
      <c r="K1215" s="61"/>
      <c r="L1215" s="61"/>
      <c r="M1215" s="61"/>
      <c r="N1215" s="61"/>
      <c r="O1215" s="61"/>
      <c r="P1215" s="61"/>
      <c r="Q1215" s="61"/>
      <c r="R1215" s="61"/>
      <c r="S1215" s="61"/>
      <c r="T1215" s="61"/>
      <c r="U1215" s="61"/>
      <c r="V1215" s="61"/>
      <c r="W1215" s="61"/>
      <c r="X1215" s="61"/>
      <c r="Y1215" s="61"/>
      <c r="Z1215" s="61"/>
    </row>
    <row r="1216" ht="15.75" customHeight="1">
      <c r="A1216" s="61"/>
      <c r="B1216" s="61"/>
      <c r="C1216" s="61"/>
      <c r="D1216" s="61"/>
      <c r="E1216" s="61"/>
      <c r="F1216" s="61"/>
      <c r="G1216" s="61" t="str">
        <f>IFERROR(__xludf.DUMMYFUNCTION("""COMPUTED_VALUE"""),"")</f>
        <v/>
      </c>
      <c r="H1216" s="63"/>
      <c r="I1216" s="61"/>
      <c r="J1216" s="61"/>
      <c r="K1216" s="61"/>
      <c r="L1216" s="61"/>
      <c r="M1216" s="61"/>
      <c r="N1216" s="61"/>
      <c r="O1216" s="61"/>
      <c r="P1216" s="61"/>
      <c r="Q1216" s="61"/>
      <c r="R1216" s="61"/>
      <c r="S1216" s="61"/>
      <c r="T1216" s="61"/>
      <c r="U1216" s="61"/>
      <c r="V1216" s="61"/>
      <c r="W1216" s="61"/>
      <c r="X1216" s="61"/>
      <c r="Y1216" s="61"/>
      <c r="Z1216" s="61"/>
    </row>
    <row r="1217" ht="15.75" customHeight="1">
      <c r="A1217" s="61"/>
      <c r="B1217" s="61"/>
      <c r="C1217" s="61"/>
      <c r="D1217" s="61"/>
      <c r="E1217" s="61"/>
      <c r="F1217" s="61"/>
      <c r="G1217" s="61" t="str">
        <f>IFERROR(__xludf.DUMMYFUNCTION("""COMPUTED_VALUE"""),"")</f>
        <v/>
      </c>
      <c r="H1217" s="63"/>
      <c r="I1217" s="61"/>
      <c r="J1217" s="61"/>
      <c r="K1217" s="61"/>
      <c r="L1217" s="61"/>
      <c r="M1217" s="61"/>
      <c r="N1217" s="61"/>
      <c r="O1217" s="61"/>
      <c r="P1217" s="61"/>
      <c r="Q1217" s="61"/>
      <c r="R1217" s="61"/>
      <c r="S1217" s="61"/>
      <c r="T1217" s="61"/>
      <c r="U1217" s="61"/>
      <c r="V1217" s="61"/>
      <c r="W1217" s="61"/>
      <c r="X1217" s="61"/>
      <c r="Y1217" s="61"/>
      <c r="Z1217" s="61"/>
    </row>
    <row r="1218" ht="15.75" customHeight="1">
      <c r="A1218" s="61"/>
      <c r="B1218" s="61"/>
      <c r="C1218" s="61"/>
      <c r="D1218" s="61"/>
      <c r="E1218" s="61"/>
      <c r="F1218" s="61"/>
      <c r="G1218" s="61" t="str">
        <f>IFERROR(__xludf.DUMMYFUNCTION("""COMPUTED_VALUE"""),"")</f>
        <v/>
      </c>
      <c r="H1218" s="63"/>
      <c r="I1218" s="61"/>
      <c r="J1218" s="61"/>
      <c r="K1218" s="61"/>
      <c r="L1218" s="61"/>
      <c r="M1218" s="61"/>
      <c r="N1218" s="61"/>
      <c r="O1218" s="61"/>
      <c r="P1218" s="61"/>
      <c r="Q1218" s="61"/>
      <c r="R1218" s="61"/>
      <c r="S1218" s="61"/>
      <c r="T1218" s="61"/>
      <c r="U1218" s="61"/>
      <c r="V1218" s="61"/>
      <c r="W1218" s="61"/>
      <c r="X1218" s="61"/>
      <c r="Y1218" s="61"/>
      <c r="Z1218" s="61"/>
    </row>
    <row r="1219" ht="15.75" customHeight="1">
      <c r="A1219" s="61"/>
      <c r="B1219" s="61"/>
      <c r="C1219" s="61"/>
      <c r="D1219" s="61"/>
      <c r="E1219" s="61"/>
      <c r="F1219" s="61"/>
      <c r="G1219" s="61" t="str">
        <f>IFERROR(__xludf.DUMMYFUNCTION("""COMPUTED_VALUE"""),"")</f>
        <v/>
      </c>
      <c r="H1219" s="63"/>
      <c r="I1219" s="61"/>
      <c r="J1219" s="61"/>
      <c r="K1219" s="61"/>
      <c r="L1219" s="61"/>
      <c r="M1219" s="61"/>
      <c r="N1219" s="61"/>
      <c r="O1219" s="61"/>
      <c r="P1219" s="61"/>
      <c r="Q1219" s="61"/>
      <c r="R1219" s="61"/>
      <c r="S1219" s="61"/>
      <c r="T1219" s="61"/>
      <c r="U1219" s="61"/>
      <c r="V1219" s="61"/>
      <c r="W1219" s="61"/>
      <c r="X1219" s="61"/>
      <c r="Y1219" s="61"/>
      <c r="Z1219" s="61"/>
    </row>
    <row r="1220" ht="15.75" customHeight="1">
      <c r="A1220" s="61"/>
      <c r="B1220" s="61"/>
      <c r="C1220" s="61"/>
      <c r="D1220" s="61"/>
      <c r="E1220" s="61"/>
      <c r="F1220" s="61"/>
      <c r="G1220" s="61" t="str">
        <f>IFERROR(__xludf.DUMMYFUNCTION("""COMPUTED_VALUE"""),"")</f>
        <v/>
      </c>
      <c r="H1220" s="63"/>
      <c r="I1220" s="61"/>
      <c r="J1220" s="61"/>
      <c r="K1220" s="61"/>
      <c r="L1220" s="61"/>
      <c r="M1220" s="61"/>
      <c r="N1220" s="61"/>
      <c r="O1220" s="61"/>
      <c r="P1220" s="61"/>
      <c r="Q1220" s="61"/>
      <c r="R1220" s="61"/>
      <c r="S1220" s="61"/>
      <c r="T1220" s="61"/>
      <c r="U1220" s="61"/>
      <c r="V1220" s="61"/>
      <c r="W1220" s="61"/>
      <c r="X1220" s="61"/>
      <c r="Y1220" s="61"/>
      <c r="Z1220" s="61"/>
    </row>
    <row r="1221" ht="15.75" customHeight="1">
      <c r="A1221" s="61"/>
      <c r="B1221" s="61"/>
      <c r="C1221" s="61"/>
      <c r="D1221" s="61"/>
      <c r="E1221" s="61"/>
      <c r="F1221" s="61"/>
      <c r="G1221" s="61" t="str">
        <f>IFERROR(__xludf.DUMMYFUNCTION("""COMPUTED_VALUE"""),"")</f>
        <v/>
      </c>
      <c r="H1221" s="63"/>
      <c r="I1221" s="61"/>
      <c r="J1221" s="61"/>
      <c r="K1221" s="61"/>
      <c r="L1221" s="61"/>
      <c r="M1221" s="61"/>
      <c r="N1221" s="61"/>
      <c r="O1221" s="61"/>
      <c r="P1221" s="61"/>
      <c r="Q1221" s="61"/>
      <c r="R1221" s="61"/>
      <c r="S1221" s="61"/>
      <c r="T1221" s="61"/>
      <c r="U1221" s="61"/>
      <c r="V1221" s="61"/>
      <c r="W1221" s="61"/>
      <c r="X1221" s="61"/>
      <c r="Y1221" s="61"/>
      <c r="Z1221" s="61"/>
    </row>
    <row r="1222" ht="15.75" customHeight="1">
      <c r="A1222" s="61"/>
      <c r="B1222" s="61"/>
      <c r="C1222" s="61"/>
      <c r="D1222" s="61"/>
      <c r="E1222" s="61"/>
      <c r="F1222" s="61"/>
      <c r="G1222" s="61" t="str">
        <f>IFERROR(__xludf.DUMMYFUNCTION("""COMPUTED_VALUE"""),"")</f>
        <v/>
      </c>
      <c r="H1222" s="63"/>
      <c r="I1222" s="61"/>
      <c r="J1222" s="61"/>
      <c r="K1222" s="61"/>
      <c r="L1222" s="61"/>
      <c r="M1222" s="61"/>
      <c r="N1222" s="61"/>
      <c r="O1222" s="61"/>
      <c r="P1222" s="61"/>
      <c r="Q1222" s="61"/>
      <c r="R1222" s="61"/>
      <c r="S1222" s="61"/>
      <c r="T1222" s="61"/>
      <c r="U1222" s="61"/>
      <c r="V1222" s="61"/>
      <c r="W1222" s="61"/>
      <c r="X1222" s="61"/>
      <c r="Y1222" s="61"/>
      <c r="Z1222" s="61"/>
    </row>
    <row r="1223" ht="15.75" customHeight="1">
      <c r="A1223" s="61"/>
      <c r="B1223" s="61"/>
      <c r="C1223" s="61"/>
      <c r="D1223" s="61"/>
      <c r="E1223" s="61"/>
      <c r="F1223" s="61"/>
      <c r="G1223" s="61" t="str">
        <f>IFERROR(__xludf.DUMMYFUNCTION("""COMPUTED_VALUE"""),"")</f>
        <v/>
      </c>
      <c r="H1223" s="63"/>
      <c r="I1223" s="61"/>
      <c r="J1223" s="61"/>
      <c r="K1223" s="61"/>
      <c r="L1223" s="61"/>
      <c r="M1223" s="61"/>
      <c r="N1223" s="61"/>
      <c r="O1223" s="61"/>
      <c r="P1223" s="61"/>
      <c r="Q1223" s="61"/>
      <c r="R1223" s="61"/>
      <c r="S1223" s="61"/>
      <c r="T1223" s="61"/>
      <c r="U1223" s="61"/>
      <c r="V1223" s="61"/>
      <c r="W1223" s="61"/>
      <c r="X1223" s="61"/>
      <c r="Y1223" s="61"/>
      <c r="Z1223" s="61"/>
    </row>
    <row r="1224" ht="15.75" customHeight="1">
      <c r="A1224" s="61"/>
      <c r="B1224" s="61"/>
      <c r="C1224" s="61"/>
      <c r="D1224" s="61"/>
      <c r="E1224" s="61"/>
      <c r="F1224" s="61"/>
      <c r="G1224" s="61" t="str">
        <f>IFERROR(__xludf.DUMMYFUNCTION("""COMPUTED_VALUE"""),"")</f>
        <v/>
      </c>
      <c r="H1224" s="63"/>
      <c r="I1224" s="61"/>
      <c r="J1224" s="61"/>
      <c r="K1224" s="61"/>
      <c r="L1224" s="61"/>
      <c r="M1224" s="61"/>
      <c r="N1224" s="61"/>
      <c r="O1224" s="61"/>
      <c r="P1224" s="61"/>
      <c r="Q1224" s="61"/>
      <c r="R1224" s="61"/>
      <c r="S1224" s="61"/>
      <c r="T1224" s="61"/>
      <c r="U1224" s="61"/>
      <c r="V1224" s="61"/>
      <c r="W1224" s="61"/>
      <c r="X1224" s="61"/>
      <c r="Y1224" s="61"/>
      <c r="Z1224" s="61"/>
    </row>
    <row r="1225" ht="15.75" customHeight="1">
      <c r="A1225" s="61"/>
      <c r="B1225" s="61"/>
      <c r="C1225" s="61"/>
      <c r="D1225" s="61"/>
      <c r="E1225" s="61"/>
      <c r="F1225" s="61"/>
      <c r="G1225" s="61" t="str">
        <f>IFERROR(__xludf.DUMMYFUNCTION("""COMPUTED_VALUE"""),"")</f>
        <v/>
      </c>
      <c r="H1225" s="63"/>
      <c r="I1225" s="61"/>
      <c r="J1225" s="61"/>
      <c r="K1225" s="61"/>
      <c r="L1225" s="61"/>
      <c r="M1225" s="61"/>
      <c r="N1225" s="61"/>
      <c r="O1225" s="61"/>
      <c r="P1225" s="61"/>
      <c r="Q1225" s="61"/>
      <c r="R1225" s="61"/>
      <c r="S1225" s="61"/>
      <c r="T1225" s="61"/>
      <c r="U1225" s="61"/>
      <c r="V1225" s="61"/>
      <c r="W1225" s="61"/>
      <c r="X1225" s="61"/>
      <c r="Y1225" s="61"/>
      <c r="Z1225" s="61"/>
    </row>
    <row r="1226" ht="15.75" customHeight="1">
      <c r="A1226" s="61"/>
      <c r="B1226" s="61"/>
      <c r="C1226" s="61"/>
      <c r="D1226" s="61"/>
      <c r="E1226" s="61"/>
      <c r="F1226" s="61"/>
      <c r="G1226" s="61" t="str">
        <f>IFERROR(__xludf.DUMMYFUNCTION("""COMPUTED_VALUE"""),"")</f>
        <v/>
      </c>
      <c r="H1226" s="63"/>
      <c r="I1226" s="61"/>
      <c r="J1226" s="61"/>
      <c r="K1226" s="61"/>
      <c r="L1226" s="61"/>
      <c r="M1226" s="61"/>
      <c r="N1226" s="61"/>
      <c r="O1226" s="61"/>
      <c r="P1226" s="61"/>
      <c r="Q1226" s="61"/>
      <c r="R1226" s="61"/>
      <c r="S1226" s="61"/>
      <c r="T1226" s="61"/>
      <c r="U1226" s="61"/>
      <c r="V1226" s="61"/>
      <c r="W1226" s="61"/>
      <c r="X1226" s="61"/>
      <c r="Y1226" s="61"/>
      <c r="Z1226" s="61"/>
    </row>
    <row r="1227" ht="15.75" customHeight="1">
      <c r="A1227" s="61"/>
      <c r="B1227" s="61"/>
      <c r="C1227" s="61"/>
      <c r="D1227" s="61"/>
      <c r="E1227" s="61"/>
      <c r="F1227" s="61"/>
      <c r="G1227" s="61" t="str">
        <f>IFERROR(__xludf.DUMMYFUNCTION("""COMPUTED_VALUE"""),"")</f>
        <v/>
      </c>
      <c r="H1227" s="63"/>
      <c r="I1227" s="61"/>
      <c r="J1227" s="61"/>
      <c r="K1227" s="61"/>
      <c r="L1227" s="61"/>
      <c r="M1227" s="61"/>
      <c r="N1227" s="61"/>
      <c r="O1227" s="61"/>
      <c r="P1227" s="61"/>
      <c r="Q1227" s="61"/>
      <c r="R1227" s="61"/>
      <c r="S1227" s="61"/>
      <c r="T1227" s="61"/>
      <c r="U1227" s="61"/>
      <c r="V1227" s="61"/>
      <c r="W1227" s="61"/>
      <c r="X1227" s="61"/>
      <c r="Y1227" s="61"/>
      <c r="Z1227" s="61"/>
    </row>
    <row r="1228" ht="15.75" customHeight="1">
      <c r="A1228" s="61"/>
      <c r="B1228" s="61"/>
      <c r="C1228" s="61"/>
      <c r="D1228" s="61"/>
      <c r="E1228" s="61"/>
      <c r="F1228" s="61"/>
      <c r="G1228" s="61" t="str">
        <f>IFERROR(__xludf.DUMMYFUNCTION("""COMPUTED_VALUE"""),"")</f>
        <v/>
      </c>
      <c r="H1228" s="63"/>
      <c r="I1228" s="61"/>
      <c r="J1228" s="61"/>
      <c r="K1228" s="61"/>
      <c r="L1228" s="61"/>
      <c r="M1228" s="61"/>
      <c r="N1228" s="61"/>
      <c r="O1228" s="61"/>
      <c r="P1228" s="61"/>
      <c r="Q1228" s="61"/>
      <c r="R1228" s="61"/>
      <c r="S1228" s="61"/>
      <c r="T1228" s="61"/>
      <c r="U1228" s="61"/>
      <c r="V1228" s="61"/>
      <c r="W1228" s="61"/>
      <c r="X1228" s="61"/>
      <c r="Y1228" s="61"/>
      <c r="Z1228" s="61"/>
    </row>
    <row r="1229" ht="15.75" customHeight="1">
      <c r="A1229" s="61"/>
      <c r="B1229" s="61"/>
      <c r="C1229" s="61"/>
      <c r="D1229" s="61"/>
      <c r="E1229" s="61"/>
      <c r="F1229" s="61"/>
      <c r="G1229" s="61" t="str">
        <f>IFERROR(__xludf.DUMMYFUNCTION("""COMPUTED_VALUE"""),"")</f>
        <v/>
      </c>
      <c r="H1229" s="63"/>
      <c r="I1229" s="61"/>
      <c r="J1229" s="61"/>
      <c r="K1229" s="61"/>
      <c r="L1229" s="61"/>
      <c r="M1229" s="61"/>
      <c r="N1229" s="61"/>
      <c r="O1229" s="61"/>
      <c r="P1229" s="61"/>
      <c r="Q1229" s="61"/>
      <c r="R1229" s="61"/>
      <c r="S1229" s="61"/>
      <c r="T1229" s="61"/>
      <c r="U1229" s="61"/>
      <c r="V1229" s="61"/>
      <c r="W1229" s="61"/>
      <c r="X1229" s="61"/>
      <c r="Y1229" s="61"/>
      <c r="Z1229" s="61"/>
    </row>
    <row r="1230" ht="15.75" customHeight="1">
      <c r="A1230" s="61"/>
      <c r="B1230" s="61"/>
      <c r="C1230" s="61"/>
      <c r="D1230" s="61"/>
      <c r="E1230" s="61"/>
      <c r="F1230" s="61"/>
      <c r="G1230" s="61" t="str">
        <f>IFERROR(__xludf.DUMMYFUNCTION("""COMPUTED_VALUE"""),"")</f>
        <v/>
      </c>
      <c r="H1230" s="63"/>
      <c r="I1230" s="61"/>
      <c r="J1230" s="61"/>
      <c r="K1230" s="61"/>
      <c r="L1230" s="61"/>
      <c r="M1230" s="61"/>
      <c r="N1230" s="61"/>
      <c r="O1230" s="61"/>
      <c r="P1230" s="61"/>
      <c r="Q1230" s="61"/>
      <c r="R1230" s="61"/>
      <c r="S1230" s="61"/>
      <c r="T1230" s="61"/>
      <c r="U1230" s="61"/>
      <c r="V1230" s="61"/>
      <c r="W1230" s="61"/>
      <c r="X1230" s="61"/>
      <c r="Y1230" s="61"/>
      <c r="Z1230" s="61"/>
    </row>
    <row r="1231" ht="15.75" customHeight="1">
      <c r="A1231" s="61"/>
      <c r="B1231" s="61"/>
      <c r="C1231" s="61"/>
      <c r="D1231" s="61"/>
      <c r="E1231" s="61"/>
      <c r="F1231" s="61"/>
      <c r="G1231" s="61" t="str">
        <f>IFERROR(__xludf.DUMMYFUNCTION("""COMPUTED_VALUE"""),"")</f>
        <v/>
      </c>
      <c r="H1231" s="63"/>
      <c r="I1231" s="61"/>
      <c r="J1231" s="61"/>
      <c r="K1231" s="61"/>
      <c r="L1231" s="61"/>
      <c r="M1231" s="61"/>
      <c r="N1231" s="61"/>
      <c r="O1231" s="61"/>
      <c r="P1231" s="61"/>
      <c r="Q1231" s="61"/>
      <c r="R1231" s="61"/>
      <c r="S1231" s="61"/>
      <c r="T1231" s="61"/>
      <c r="U1231" s="61"/>
      <c r="V1231" s="61"/>
      <c r="W1231" s="61"/>
      <c r="X1231" s="61"/>
      <c r="Y1231" s="61"/>
      <c r="Z1231" s="61"/>
    </row>
    <row r="1232" ht="15.75" customHeight="1">
      <c r="A1232" s="61"/>
      <c r="B1232" s="61"/>
      <c r="C1232" s="61"/>
      <c r="D1232" s="61"/>
      <c r="E1232" s="61"/>
      <c r="F1232" s="61"/>
      <c r="G1232" s="61" t="str">
        <f>IFERROR(__xludf.DUMMYFUNCTION("""COMPUTED_VALUE"""),"")</f>
        <v/>
      </c>
      <c r="H1232" s="63"/>
      <c r="I1232" s="61"/>
      <c r="J1232" s="61"/>
      <c r="K1232" s="61"/>
      <c r="L1232" s="61"/>
      <c r="M1232" s="61"/>
      <c r="N1232" s="61"/>
      <c r="O1232" s="61"/>
      <c r="P1232" s="61"/>
      <c r="Q1232" s="61"/>
      <c r="R1232" s="61"/>
      <c r="S1232" s="61"/>
      <c r="T1232" s="61"/>
      <c r="U1232" s="61"/>
      <c r="V1232" s="61"/>
      <c r="W1232" s="61"/>
      <c r="X1232" s="61"/>
      <c r="Y1232" s="61"/>
      <c r="Z1232" s="61"/>
    </row>
    <row r="1233" ht="15.75" customHeight="1">
      <c r="A1233" s="61"/>
      <c r="B1233" s="61"/>
      <c r="C1233" s="61"/>
      <c r="D1233" s="61"/>
      <c r="E1233" s="61"/>
      <c r="F1233" s="61"/>
      <c r="G1233" s="61" t="str">
        <f>IFERROR(__xludf.DUMMYFUNCTION("""COMPUTED_VALUE"""),"")</f>
        <v/>
      </c>
      <c r="H1233" s="63"/>
      <c r="I1233" s="61"/>
      <c r="J1233" s="61"/>
      <c r="K1233" s="61"/>
      <c r="L1233" s="61"/>
      <c r="M1233" s="61"/>
      <c r="N1233" s="61"/>
      <c r="O1233" s="61"/>
      <c r="P1233" s="61"/>
      <c r="Q1233" s="61"/>
      <c r="R1233" s="61"/>
      <c r="S1233" s="61"/>
      <c r="T1233" s="61"/>
      <c r="U1233" s="61"/>
      <c r="V1233" s="61"/>
      <c r="W1233" s="61"/>
      <c r="X1233" s="61"/>
      <c r="Y1233" s="61"/>
      <c r="Z1233" s="61"/>
    </row>
    <row r="1234" ht="15.75" customHeight="1">
      <c r="A1234" s="61"/>
      <c r="B1234" s="61"/>
      <c r="C1234" s="61"/>
      <c r="D1234" s="61"/>
      <c r="E1234" s="61"/>
      <c r="F1234" s="61"/>
      <c r="G1234" s="61" t="str">
        <f>IFERROR(__xludf.DUMMYFUNCTION("""COMPUTED_VALUE"""),"")</f>
        <v/>
      </c>
      <c r="H1234" s="63"/>
      <c r="I1234" s="61"/>
      <c r="J1234" s="61"/>
      <c r="K1234" s="61"/>
      <c r="L1234" s="61"/>
      <c r="M1234" s="61"/>
      <c r="N1234" s="61"/>
      <c r="O1234" s="61"/>
      <c r="P1234" s="61"/>
      <c r="Q1234" s="61"/>
      <c r="R1234" s="61"/>
      <c r="S1234" s="61"/>
      <c r="T1234" s="61"/>
      <c r="U1234" s="61"/>
      <c r="V1234" s="61"/>
      <c r="W1234" s="61"/>
      <c r="X1234" s="61"/>
      <c r="Y1234" s="61"/>
      <c r="Z1234" s="61"/>
    </row>
    <row r="1235" ht="15.75" customHeight="1">
      <c r="A1235" s="61"/>
      <c r="B1235" s="61"/>
      <c r="C1235" s="61"/>
      <c r="D1235" s="61"/>
      <c r="E1235" s="61"/>
      <c r="F1235" s="61"/>
      <c r="G1235" s="61" t="str">
        <f>IFERROR(__xludf.DUMMYFUNCTION("""COMPUTED_VALUE"""),"")</f>
        <v/>
      </c>
      <c r="H1235" s="63"/>
      <c r="I1235" s="61"/>
      <c r="J1235" s="61"/>
      <c r="K1235" s="61"/>
      <c r="L1235" s="61"/>
      <c r="M1235" s="61"/>
      <c r="N1235" s="61"/>
      <c r="O1235" s="61"/>
      <c r="P1235" s="61"/>
      <c r="Q1235" s="61"/>
      <c r="R1235" s="61"/>
      <c r="S1235" s="61"/>
      <c r="T1235" s="61"/>
      <c r="U1235" s="61"/>
      <c r="V1235" s="61"/>
      <c r="W1235" s="61"/>
      <c r="X1235" s="61"/>
      <c r="Y1235" s="61"/>
      <c r="Z1235" s="61"/>
    </row>
    <row r="1236" ht="15.75" customHeight="1">
      <c r="A1236" s="61"/>
      <c r="B1236" s="61"/>
      <c r="C1236" s="61"/>
      <c r="D1236" s="61"/>
      <c r="E1236" s="61"/>
      <c r="F1236" s="61"/>
      <c r="G1236" s="61" t="str">
        <f>IFERROR(__xludf.DUMMYFUNCTION("""COMPUTED_VALUE"""),"")</f>
        <v/>
      </c>
      <c r="H1236" s="63"/>
      <c r="I1236" s="61"/>
      <c r="J1236" s="61"/>
      <c r="K1236" s="61"/>
      <c r="L1236" s="61"/>
      <c r="M1236" s="61"/>
      <c r="N1236" s="61"/>
      <c r="O1236" s="61"/>
      <c r="P1236" s="61"/>
      <c r="Q1236" s="61"/>
      <c r="R1236" s="61"/>
      <c r="S1236" s="61"/>
      <c r="T1236" s="61"/>
      <c r="U1236" s="61"/>
      <c r="V1236" s="61"/>
      <c r="W1236" s="61"/>
      <c r="X1236" s="61"/>
      <c r="Y1236" s="61"/>
      <c r="Z1236" s="61"/>
    </row>
    <row r="1237" ht="15.75" customHeight="1">
      <c r="A1237" s="61"/>
      <c r="B1237" s="61"/>
      <c r="C1237" s="61"/>
      <c r="D1237" s="61"/>
      <c r="E1237" s="61"/>
      <c r="F1237" s="61"/>
      <c r="G1237" s="61" t="str">
        <f>IFERROR(__xludf.DUMMYFUNCTION("""COMPUTED_VALUE"""),"")</f>
        <v/>
      </c>
      <c r="H1237" s="63"/>
      <c r="I1237" s="61"/>
      <c r="J1237" s="61"/>
      <c r="K1237" s="61"/>
      <c r="L1237" s="61"/>
      <c r="M1237" s="61"/>
      <c r="N1237" s="61"/>
      <c r="O1237" s="61"/>
      <c r="P1237" s="61"/>
      <c r="Q1237" s="61"/>
      <c r="R1237" s="61"/>
      <c r="S1237" s="61"/>
      <c r="T1237" s="61"/>
      <c r="U1237" s="61"/>
      <c r="V1237" s="61"/>
      <c r="W1237" s="61"/>
      <c r="X1237" s="61"/>
      <c r="Y1237" s="61"/>
      <c r="Z1237" s="61"/>
    </row>
    <row r="1238" ht="15.75" customHeight="1">
      <c r="A1238" s="61"/>
      <c r="B1238" s="61"/>
      <c r="C1238" s="61"/>
      <c r="D1238" s="61"/>
      <c r="E1238" s="61"/>
      <c r="F1238" s="61"/>
      <c r="G1238" s="61" t="str">
        <f>IFERROR(__xludf.DUMMYFUNCTION("""COMPUTED_VALUE"""),"")</f>
        <v/>
      </c>
      <c r="H1238" s="63"/>
      <c r="I1238" s="61"/>
      <c r="J1238" s="61"/>
      <c r="K1238" s="61"/>
      <c r="L1238" s="61"/>
      <c r="M1238" s="61"/>
      <c r="N1238" s="61"/>
      <c r="O1238" s="61"/>
      <c r="P1238" s="61"/>
      <c r="Q1238" s="61"/>
      <c r="R1238" s="61"/>
      <c r="S1238" s="61"/>
      <c r="T1238" s="61"/>
      <c r="U1238" s="61"/>
      <c r="V1238" s="61"/>
      <c r="W1238" s="61"/>
      <c r="X1238" s="61"/>
      <c r="Y1238" s="61"/>
      <c r="Z1238" s="61"/>
    </row>
    <row r="1239" ht="15.75" customHeight="1">
      <c r="A1239" s="61"/>
      <c r="B1239" s="61"/>
      <c r="C1239" s="61"/>
      <c r="D1239" s="61"/>
      <c r="E1239" s="61"/>
      <c r="F1239" s="61"/>
      <c r="G1239" s="61" t="str">
        <f>IFERROR(__xludf.DUMMYFUNCTION("""COMPUTED_VALUE"""),"")</f>
        <v/>
      </c>
      <c r="H1239" s="63"/>
      <c r="I1239" s="61"/>
      <c r="J1239" s="61"/>
      <c r="K1239" s="61"/>
      <c r="L1239" s="61"/>
      <c r="M1239" s="61"/>
      <c r="N1239" s="61"/>
      <c r="O1239" s="61"/>
      <c r="P1239" s="61"/>
      <c r="Q1239" s="61"/>
      <c r="R1239" s="61"/>
      <c r="S1239" s="61"/>
      <c r="T1239" s="61"/>
      <c r="U1239" s="61"/>
      <c r="V1239" s="61"/>
      <c r="W1239" s="61"/>
      <c r="X1239" s="61"/>
      <c r="Y1239" s="61"/>
      <c r="Z1239" s="61"/>
    </row>
    <row r="1240" ht="15.75" customHeight="1">
      <c r="A1240" s="61"/>
      <c r="B1240" s="61"/>
      <c r="C1240" s="61"/>
      <c r="D1240" s="61"/>
      <c r="E1240" s="61"/>
      <c r="F1240" s="61"/>
      <c r="G1240" s="61" t="str">
        <f>IFERROR(__xludf.DUMMYFUNCTION("""COMPUTED_VALUE"""),"")</f>
        <v/>
      </c>
      <c r="H1240" s="63"/>
      <c r="I1240" s="61"/>
      <c r="J1240" s="61"/>
      <c r="K1240" s="61"/>
      <c r="L1240" s="61"/>
      <c r="M1240" s="61"/>
      <c r="N1240" s="61"/>
      <c r="O1240" s="61"/>
      <c r="P1240" s="61"/>
      <c r="Q1240" s="61"/>
      <c r="R1240" s="61"/>
      <c r="S1240" s="61"/>
      <c r="T1240" s="61"/>
      <c r="U1240" s="61"/>
      <c r="V1240" s="61"/>
      <c r="W1240" s="61"/>
      <c r="X1240" s="61"/>
      <c r="Y1240" s="61"/>
      <c r="Z1240" s="61"/>
    </row>
    <row r="1241" ht="15.75" customHeight="1">
      <c r="A1241" s="61"/>
      <c r="B1241" s="61"/>
      <c r="C1241" s="61"/>
      <c r="D1241" s="61"/>
      <c r="E1241" s="61"/>
      <c r="F1241" s="61"/>
      <c r="G1241" s="61" t="str">
        <f>IFERROR(__xludf.DUMMYFUNCTION("""COMPUTED_VALUE"""),"")</f>
        <v/>
      </c>
      <c r="H1241" s="63"/>
      <c r="I1241" s="61"/>
      <c r="J1241" s="61"/>
      <c r="K1241" s="61"/>
      <c r="L1241" s="61"/>
      <c r="M1241" s="61"/>
      <c r="N1241" s="61"/>
      <c r="O1241" s="61"/>
      <c r="P1241" s="61"/>
      <c r="Q1241" s="61"/>
      <c r="R1241" s="61"/>
      <c r="S1241" s="61"/>
      <c r="T1241" s="61"/>
      <c r="U1241" s="61"/>
      <c r="V1241" s="61"/>
      <c r="W1241" s="61"/>
      <c r="X1241" s="61"/>
      <c r="Y1241" s="61"/>
      <c r="Z1241" s="61"/>
    </row>
    <row r="1242" ht="15.75" customHeight="1">
      <c r="A1242" s="61"/>
      <c r="B1242" s="61"/>
      <c r="C1242" s="61"/>
      <c r="D1242" s="61"/>
      <c r="E1242" s="61"/>
      <c r="F1242" s="61"/>
      <c r="G1242" s="61" t="str">
        <f>IFERROR(__xludf.DUMMYFUNCTION("""COMPUTED_VALUE"""),"")</f>
        <v/>
      </c>
      <c r="H1242" s="63"/>
      <c r="I1242" s="61"/>
      <c r="J1242" s="61"/>
      <c r="K1242" s="61"/>
      <c r="L1242" s="61"/>
      <c r="M1242" s="61"/>
      <c r="N1242" s="61"/>
      <c r="O1242" s="61"/>
      <c r="P1242" s="61"/>
      <c r="Q1242" s="61"/>
      <c r="R1242" s="61"/>
      <c r="S1242" s="61"/>
      <c r="T1242" s="61"/>
      <c r="U1242" s="61"/>
      <c r="V1242" s="61"/>
      <c r="W1242" s="61"/>
      <c r="X1242" s="61"/>
      <c r="Y1242" s="61"/>
      <c r="Z1242" s="61"/>
    </row>
    <row r="1243" ht="15.75" customHeight="1">
      <c r="A1243" s="61"/>
      <c r="B1243" s="61"/>
      <c r="C1243" s="61"/>
      <c r="D1243" s="61"/>
      <c r="E1243" s="61"/>
      <c r="F1243" s="61"/>
      <c r="G1243" s="61" t="str">
        <f>IFERROR(__xludf.DUMMYFUNCTION("""COMPUTED_VALUE"""),"")</f>
        <v/>
      </c>
      <c r="H1243" s="63"/>
      <c r="I1243" s="61"/>
      <c r="J1243" s="61"/>
      <c r="K1243" s="61"/>
      <c r="L1243" s="61"/>
      <c r="M1243" s="61"/>
      <c r="N1243" s="61"/>
      <c r="O1243" s="61"/>
      <c r="P1243" s="61"/>
      <c r="Q1243" s="61"/>
      <c r="R1243" s="61"/>
      <c r="S1243" s="61"/>
      <c r="T1243" s="61"/>
      <c r="U1243" s="61"/>
      <c r="V1243" s="61"/>
      <c r="W1243" s="61"/>
      <c r="X1243" s="61"/>
      <c r="Y1243" s="61"/>
      <c r="Z1243" s="61"/>
    </row>
    <row r="1244" ht="15.75" customHeight="1">
      <c r="A1244" s="61"/>
      <c r="B1244" s="61"/>
      <c r="C1244" s="61"/>
      <c r="D1244" s="61"/>
      <c r="E1244" s="61"/>
      <c r="F1244" s="61"/>
      <c r="G1244" s="61" t="str">
        <f>IFERROR(__xludf.DUMMYFUNCTION("""COMPUTED_VALUE"""),"")</f>
        <v/>
      </c>
      <c r="H1244" s="63"/>
      <c r="I1244" s="61"/>
      <c r="J1244" s="61"/>
      <c r="K1244" s="61"/>
      <c r="L1244" s="61"/>
      <c r="M1244" s="61"/>
      <c r="N1244" s="61"/>
      <c r="O1244" s="61"/>
      <c r="P1244" s="61"/>
      <c r="Q1244" s="61"/>
      <c r="R1244" s="61"/>
      <c r="S1244" s="61"/>
      <c r="T1244" s="61"/>
      <c r="U1244" s="61"/>
      <c r="V1244" s="61"/>
      <c r="W1244" s="61"/>
      <c r="X1244" s="61"/>
      <c r="Y1244" s="61"/>
      <c r="Z1244" s="61"/>
    </row>
    <row r="1245" ht="15.75" customHeight="1">
      <c r="A1245" s="61"/>
      <c r="B1245" s="61"/>
      <c r="C1245" s="61"/>
      <c r="D1245" s="61"/>
      <c r="E1245" s="61"/>
      <c r="F1245" s="61"/>
      <c r="G1245" s="61" t="str">
        <f>IFERROR(__xludf.DUMMYFUNCTION("""COMPUTED_VALUE"""),"")</f>
        <v/>
      </c>
      <c r="H1245" s="63"/>
      <c r="I1245" s="61"/>
      <c r="J1245" s="61"/>
      <c r="K1245" s="61"/>
      <c r="L1245" s="61"/>
      <c r="M1245" s="61"/>
      <c r="N1245" s="61"/>
      <c r="O1245" s="61"/>
      <c r="P1245" s="61"/>
      <c r="Q1245" s="61"/>
      <c r="R1245" s="61"/>
      <c r="S1245" s="61"/>
      <c r="T1245" s="61"/>
      <c r="U1245" s="61"/>
      <c r="V1245" s="61"/>
      <c r="W1245" s="61"/>
      <c r="X1245" s="61"/>
      <c r="Y1245" s="61"/>
      <c r="Z1245" s="61"/>
    </row>
    <row r="1246" ht="15.75" customHeight="1">
      <c r="A1246" s="61"/>
      <c r="B1246" s="61"/>
      <c r="C1246" s="61"/>
      <c r="D1246" s="61"/>
      <c r="E1246" s="61"/>
      <c r="F1246" s="61"/>
      <c r="G1246" s="61" t="str">
        <f>IFERROR(__xludf.DUMMYFUNCTION("""COMPUTED_VALUE"""),"")</f>
        <v/>
      </c>
      <c r="H1246" s="63"/>
      <c r="I1246" s="61"/>
      <c r="J1246" s="61"/>
      <c r="K1246" s="61"/>
      <c r="L1246" s="61"/>
      <c r="M1246" s="61"/>
      <c r="N1246" s="61"/>
      <c r="O1246" s="61"/>
      <c r="P1246" s="61"/>
      <c r="Q1246" s="61"/>
      <c r="R1246" s="61"/>
      <c r="S1246" s="61"/>
      <c r="T1246" s="61"/>
      <c r="U1246" s="61"/>
      <c r="V1246" s="61"/>
      <c r="W1246" s="61"/>
      <c r="X1246" s="61"/>
      <c r="Y1246" s="61"/>
      <c r="Z1246" s="61"/>
    </row>
    <row r="1247" ht="15.75" customHeight="1">
      <c r="A1247" s="61"/>
      <c r="B1247" s="61"/>
      <c r="C1247" s="61"/>
      <c r="D1247" s="61"/>
      <c r="E1247" s="61"/>
      <c r="F1247" s="61"/>
      <c r="G1247" s="61" t="str">
        <f>IFERROR(__xludf.DUMMYFUNCTION("""COMPUTED_VALUE"""),"")</f>
        <v/>
      </c>
      <c r="H1247" s="63"/>
      <c r="I1247" s="61"/>
      <c r="J1247" s="61"/>
      <c r="K1247" s="61"/>
      <c r="L1247" s="61"/>
      <c r="M1247" s="61"/>
      <c r="N1247" s="61"/>
      <c r="O1247" s="61"/>
      <c r="P1247" s="61"/>
      <c r="Q1247" s="61"/>
      <c r="R1247" s="61"/>
      <c r="S1247" s="61"/>
      <c r="T1247" s="61"/>
      <c r="U1247" s="61"/>
      <c r="V1247" s="61"/>
      <c r="W1247" s="61"/>
      <c r="X1247" s="61"/>
      <c r="Y1247" s="61"/>
      <c r="Z1247" s="61"/>
    </row>
    <row r="1248" ht="15.75" customHeight="1">
      <c r="A1248" s="61"/>
      <c r="B1248" s="61"/>
      <c r="C1248" s="61"/>
      <c r="D1248" s="61"/>
      <c r="E1248" s="61"/>
      <c r="F1248" s="61"/>
      <c r="G1248" s="61" t="str">
        <f>IFERROR(__xludf.DUMMYFUNCTION("""COMPUTED_VALUE"""),"")</f>
        <v/>
      </c>
      <c r="H1248" s="63"/>
      <c r="I1248" s="61"/>
      <c r="J1248" s="61"/>
      <c r="K1248" s="61"/>
      <c r="L1248" s="61"/>
      <c r="M1248" s="61"/>
      <c r="N1248" s="61"/>
      <c r="O1248" s="61"/>
      <c r="P1248" s="61"/>
      <c r="Q1248" s="61"/>
      <c r="R1248" s="61"/>
      <c r="S1248" s="61"/>
      <c r="T1248" s="61"/>
      <c r="U1248" s="61"/>
      <c r="V1248" s="61"/>
      <c r="W1248" s="61"/>
      <c r="X1248" s="61"/>
      <c r="Y1248" s="61"/>
      <c r="Z1248" s="61"/>
    </row>
    <row r="1249" ht="15.75" customHeight="1">
      <c r="A1249" s="61"/>
      <c r="B1249" s="61"/>
      <c r="C1249" s="61"/>
      <c r="D1249" s="61"/>
      <c r="E1249" s="61"/>
      <c r="F1249" s="61"/>
      <c r="G1249" s="61" t="str">
        <f>IFERROR(__xludf.DUMMYFUNCTION("""COMPUTED_VALUE"""),"")</f>
        <v/>
      </c>
      <c r="H1249" s="63"/>
      <c r="I1249" s="61"/>
      <c r="J1249" s="61"/>
      <c r="K1249" s="61"/>
      <c r="L1249" s="61"/>
      <c r="M1249" s="61"/>
      <c r="N1249" s="61"/>
      <c r="O1249" s="61"/>
      <c r="P1249" s="61"/>
      <c r="Q1249" s="61"/>
      <c r="R1249" s="61"/>
      <c r="S1249" s="61"/>
      <c r="T1249" s="61"/>
      <c r="U1249" s="61"/>
      <c r="V1249" s="61"/>
      <c r="W1249" s="61"/>
      <c r="X1249" s="61"/>
      <c r="Y1249" s="61"/>
      <c r="Z1249" s="61"/>
    </row>
    <row r="1250" ht="15.75" customHeight="1">
      <c r="A1250" s="61"/>
      <c r="B1250" s="61"/>
      <c r="C1250" s="61"/>
      <c r="D1250" s="61"/>
      <c r="E1250" s="61"/>
      <c r="F1250" s="61"/>
      <c r="G1250" s="61" t="str">
        <f>IFERROR(__xludf.DUMMYFUNCTION("""COMPUTED_VALUE"""),"")</f>
        <v/>
      </c>
      <c r="H1250" s="63"/>
      <c r="I1250" s="61"/>
      <c r="J1250" s="61"/>
      <c r="K1250" s="61"/>
      <c r="L1250" s="61"/>
      <c r="M1250" s="61"/>
      <c r="N1250" s="61"/>
      <c r="O1250" s="61"/>
      <c r="P1250" s="61"/>
      <c r="Q1250" s="61"/>
      <c r="R1250" s="61"/>
      <c r="S1250" s="61"/>
      <c r="T1250" s="61"/>
      <c r="U1250" s="61"/>
      <c r="V1250" s="61"/>
      <c r="W1250" s="61"/>
      <c r="X1250" s="61"/>
      <c r="Y1250" s="61"/>
      <c r="Z1250" s="61"/>
    </row>
    <row r="1251" ht="15.75" customHeight="1">
      <c r="A1251" s="61"/>
      <c r="B1251" s="61"/>
      <c r="C1251" s="61"/>
      <c r="D1251" s="61"/>
      <c r="E1251" s="61"/>
      <c r="F1251" s="61"/>
      <c r="G1251" s="61" t="str">
        <f>IFERROR(__xludf.DUMMYFUNCTION("""COMPUTED_VALUE"""),"")</f>
        <v/>
      </c>
      <c r="H1251" s="63"/>
      <c r="I1251" s="61"/>
      <c r="J1251" s="61"/>
      <c r="K1251" s="61"/>
      <c r="L1251" s="61"/>
      <c r="M1251" s="61"/>
      <c r="N1251" s="61"/>
      <c r="O1251" s="61"/>
      <c r="P1251" s="61"/>
      <c r="Q1251" s="61"/>
      <c r="R1251" s="61"/>
      <c r="S1251" s="61"/>
      <c r="T1251" s="61"/>
      <c r="U1251" s="61"/>
      <c r="V1251" s="61"/>
      <c r="W1251" s="61"/>
      <c r="X1251" s="61"/>
      <c r="Y1251" s="61"/>
      <c r="Z1251" s="61"/>
    </row>
    <row r="1252" ht="15.75" customHeight="1">
      <c r="A1252" s="61"/>
      <c r="B1252" s="61"/>
      <c r="C1252" s="61"/>
      <c r="D1252" s="61"/>
      <c r="E1252" s="61"/>
      <c r="F1252" s="61"/>
      <c r="G1252" s="61" t="str">
        <f>IFERROR(__xludf.DUMMYFUNCTION("""COMPUTED_VALUE"""),"")</f>
        <v/>
      </c>
      <c r="H1252" s="63"/>
      <c r="I1252" s="61"/>
      <c r="J1252" s="61"/>
      <c r="K1252" s="61"/>
      <c r="L1252" s="61"/>
      <c r="M1252" s="61"/>
      <c r="N1252" s="61"/>
      <c r="O1252" s="61"/>
      <c r="P1252" s="61"/>
      <c r="Q1252" s="61"/>
      <c r="R1252" s="61"/>
      <c r="S1252" s="61"/>
      <c r="T1252" s="61"/>
      <c r="U1252" s="61"/>
      <c r="V1252" s="61"/>
      <c r="W1252" s="61"/>
      <c r="X1252" s="61"/>
      <c r="Y1252" s="61"/>
      <c r="Z1252" s="61"/>
    </row>
    <row r="1253" ht="15.75" customHeight="1">
      <c r="A1253" s="61"/>
      <c r="B1253" s="61"/>
      <c r="C1253" s="61"/>
      <c r="D1253" s="61"/>
      <c r="E1253" s="61"/>
      <c r="F1253" s="61"/>
      <c r="G1253" s="61" t="str">
        <f>IFERROR(__xludf.DUMMYFUNCTION("""COMPUTED_VALUE"""),"")</f>
        <v/>
      </c>
      <c r="H1253" s="63"/>
      <c r="I1253" s="61"/>
      <c r="J1253" s="61"/>
      <c r="K1253" s="61"/>
      <c r="L1253" s="61"/>
      <c r="M1253" s="61"/>
      <c r="N1253" s="61"/>
      <c r="O1253" s="61"/>
      <c r="P1253" s="61"/>
      <c r="Q1253" s="61"/>
      <c r="R1253" s="61"/>
      <c r="S1253" s="61"/>
      <c r="T1253" s="61"/>
      <c r="U1253" s="61"/>
      <c r="V1253" s="61"/>
      <c r="W1253" s="61"/>
      <c r="X1253" s="61"/>
      <c r="Y1253" s="61"/>
      <c r="Z1253" s="61"/>
    </row>
    <row r="1254" ht="15.75" customHeight="1">
      <c r="A1254" s="61"/>
      <c r="B1254" s="61"/>
      <c r="C1254" s="61"/>
      <c r="D1254" s="61"/>
      <c r="E1254" s="61"/>
      <c r="F1254" s="61"/>
      <c r="G1254" s="61" t="str">
        <f>IFERROR(__xludf.DUMMYFUNCTION("""COMPUTED_VALUE"""),"")</f>
        <v/>
      </c>
      <c r="H1254" s="63"/>
      <c r="I1254" s="61"/>
      <c r="J1254" s="61"/>
      <c r="K1254" s="61"/>
      <c r="L1254" s="61"/>
      <c r="M1254" s="61"/>
      <c r="N1254" s="61"/>
      <c r="O1254" s="61"/>
      <c r="P1254" s="61"/>
      <c r="Q1254" s="61"/>
      <c r="R1254" s="61"/>
      <c r="S1254" s="61"/>
      <c r="T1254" s="61"/>
      <c r="U1254" s="61"/>
      <c r="V1254" s="61"/>
      <c r="W1254" s="61"/>
      <c r="X1254" s="61"/>
      <c r="Y1254" s="61"/>
      <c r="Z1254" s="61"/>
    </row>
    <row r="1255" ht="15.75" customHeight="1">
      <c r="A1255" s="61"/>
      <c r="B1255" s="61"/>
      <c r="C1255" s="61"/>
      <c r="D1255" s="61"/>
      <c r="E1255" s="61"/>
      <c r="F1255" s="61"/>
      <c r="G1255" s="61" t="str">
        <f>IFERROR(__xludf.DUMMYFUNCTION("""COMPUTED_VALUE"""),"")</f>
        <v/>
      </c>
      <c r="H1255" s="63"/>
      <c r="I1255" s="61"/>
      <c r="J1255" s="61"/>
      <c r="K1255" s="61"/>
      <c r="L1255" s="61"/>
      <c r="M1255" s="61"/>
      <c r="N1255" s="61"/>
      <c r="O1255" s="61"/>
      <c r="P1255" s="61"/>
      <c r="Q1255" s="61"/>
      <c r="R1255" s="61"/>
      <c r="S1255" s="61"/>
      <c r="T1255" s="61"/>
      <c r="U1255" s="61"/>
      <c r="V1255" s="61"/>
      <c r="W1255" s="61"/>
      <c r="X1255" s="61"/>
      <c r="Y1255" s="61"/>
      <c r="Z1255" s="61"/>
    </row>
    <row r="1256" ht="15.75" customHeight="1">
      <c r="A1256" s="61"/>
      <c r="B1256" s="61"/>
      <c r="C1256" s="61"/>
      <c r="D1256" s="61"/>
      <c r="E1256" s="61"/>
      <c r="F1256" s="61"/>
      <c r="G1256" s="61" t="str">
        <f>IFERROR(__xludf.DUMMYFUNCTION("""COMPUTED_VALUE"""),"")</f>
        <v/>
      </c>
      <c r="H1256" s="63"/>
      <c r="I1256" s="61"/>
      <c r="J1256" s="61"/>
      <c r="K1256" s="61"/>
      <c r="L1256" s="61"/>
      <c r="M1256" s="61"/>
      <c r="N1256" s="61"/>
      <c r="O1256" s="61"/>
      <c r="P1256" s="61"/>
      <c r="Q1256" s="61"/>
      <c r="R1256" s="61"/>
      <c r="S1256" s="61"/>
      <c r="T1256" s="61"/>
      <c r="U1256" s="61"/>
      <c r="V1256" s="61"/>
      <c r="W1256" s="61"/>
      <c r="X1256" s="61"/>
      <c r="Y1256" s="61"/>
      <c r="Z1256" s="61"/>
    </row>
    <row r="1257" ht="15.75" customHeight="1">
      <c r="A1257" s="61"/>
      <c r="B1257" s="61"/>
      <c r="C1257" s="61"/>
      <c r="D1257" s="61"/>
      <c r="E1257" s="61"/>
      <c r="F1257" s="61"/>
      <c r="G1257" s="61" t="str">
        <f>IFERROR(__xludf.DUMMYFUNCTION("""COMPUTED_VALUE"""),"")</f>
        <v/>
      </c>
      <c r="H1257" s="63"/>
      <c r="I1257" s="61"/>
      <c r="J1257" s="61"/>
      <c r="K1257" s="61"/>
      <c r="L1257" s="61"/>
      <c r="M1257" s="61"/>
      <c r="N1257" s="61"/>
      <c r="O1257" s="61"/>
      <c r="P1257" s="61"/>
      <c r="Q1257" s="61"/>
      <c r="R1257" s="61"/>
      <c r="S1257" s="61"/>
      <c r="T1257" s="61"/>
      <c r="U1257" s="61"/>
      <c r="V1257" s="61"/>
      <c r="W1257" s="61"/>
      <c r="X1257" s="61"/>
      <c r="Y1257" s="61"/>
      <c r="Z1257" s="61"/>
    </row>
    <row r="1258" ht="15.75" customHeight="1">
      <c r="A1258" s="61"/>
      <c r="B1258" s="61"/>
      <c r="C1258" s="61"/>
      <c r="D1258" s="61"/>
      <c r="E1258" s="61"/>
      <c r="F1258" s="61"/>
      <c r="G1258" s="61" t="str">
        <f>IFERROR(__xludf.DUMMYFUNCTION("""COMPUTED_VALUE"""),"")</f>
        <v/>
      </c>
      <c r="H1258" s="63"/>
      <c r="I1258" s="61"/>
      <c r="J1258" s="61"/>
      <c r="K1258" s="61"/>
      <c r="L1258" s="61"/>
      <c r="M1258" s="61"/>
      <c r="N1258" s="61"/>
      <c r="O1258" s="61"/>
      <c r="P1258" s="61"/>
      <c r="Q1258" s="61"/>
      <c r="R1258" s="61"/>
      <c r="S1258" s="61"/>
      <c r="T1258" s="61"/>
      <c r="U1258" s="61"/>
      <c r="V1258" s="61"/>
      <c r="W1258" s="61"/>
      <c r="X1258" s="61"/>
      <c r="Y1258" s="61"/>
      <c r="Z1258" s="61"/>
    </row>
    <row r="1259" ht="15.75" customHeight="1">
      <c r="A1259" s="61"/>
      <c r="B1259" s="61"/>
      <c r="C1259" s="61"/>
      <c r="D1259" s="61"/>
      <c r="E1259" s="61"/>
      <c r="F1259" s="61"/>
      <c r="G1259" s="61" t="str">
        <f>IFERROR(__xludf.DUMMYFUNCTION("""COMPUTED_VALUE"""),"")</f>
        <v/>
      </c>
      <c r="H1259" s="63"/>
      <c r="I1259" s="61"/>
      <c r="J1259" s="61"/>
      <c r="K1259" s="61"/>
      <c r="L1259" s="61"/>
      <c r="M1259" s="61"/>
      <c r="N1259" s="61"/>
      <c r="O1259" s="61"/>
      <c r="P1259" s="61"/>
      <c r="Q1259" s="61"/>
      <c r="R1259" s="61"/>
      <c r="S1259" s="61"/>
      <c r="T1259" s="61"/>
      <c r="U1259" s="61"/>
      <c r="V1259" s="61"/>
      <c r="W1259" s="61"/>
      <c r="X1259" s="61"/>
      <c r="Y1259" s="61"/>
      <c r="Z1259" s="61"/>
    </row>
    <row r="1260" ht="15.75" customHeight="1">
      <c r="A1260" s="61"/>
      <c r="B1260" s="61"/>
      <c r="C1260" s="61"/>
      <c r="D1260" s="61"/>
      <c r="E1260" s="61"/>
      <c r="F1260" s="61"/>
      <c r="G1260" s="61" t="str">
        <f>IFERROR(__xludf.DUMMYFUNCTION("""COMPUTED_VALUE"""),"")</f>
        <v/>
      </c>
      <c r="H1260" s="63"/>
      <c r="I1260" s="61"/>
      <c r="J1260" s="61"/>
      <c r="K1260" s="61"/>
      <c r="L1260" s="61"/>
      <c r="M1260" s="61"/>
      <c r="N1260" s="61"/>
      <c r="O1260" s="61"/>
      <c r="P1260" s="61"/>
      <c r="Q1260" s="61"/>
      <c r="R1260" s="61"/>
      <c r="S1260" s="61"/>
      <c r="T1260" s="61"/>
      <c r="U1260" s="61"/>
      <c r="V1260" s="61"/>
      <c r="W1260" s="61"/>
      <c r="X1260" s="61"/>
      <c r="Y1260" s="61"/>
      <c r="Z1260" s="61"/>
    </row>
    <row r="1261" ht="15.75" customHeight="1">
      <c r="A1261" s="61"/>
      <c r="B1261" s="61"/>
      <c r="C1261" s="61"/>
      <c r="D1261" s="61"/>
      <c r="E1261" s="61"/>
      <c r="F1261" s="61"/>
      <c r="G1261" s="61" t="str">
        <f>IFERROR(__xludf.DUMMYFUNCTION("""COMPUTED_VALUE"""),"")</f>
        <v/>
      </c>
      <c r="H1261" s="63"/>
      <c r="I1261" s="61"/>
      <c r="J1261" s="61"/>
      <c r="K1261" s="61"/>
      <c r="L1261" s="61"/>
      <c r="M1261" s="61"/>
      <c r="N1261" s="61"/>
      <c r="O1261" s="61"/>
      <c r="P1261" s="61"/>
      <c r="Q1261" s="61"/>
      <c r="R1261" s="61"/>
      <c r="S1261" s="61"/>
      <c r="T1261" s="61"/>
      <c r="U1261" s="61"/>
      <c r="V1261" s="61"/>
      <c r="W1261" s="61"/>
      <c r="X1261" s="61"/>
      <c r="Y1261" s="61"/>
      <c r="Z1261" s="61"/>
    </row>
    <row r="1262" ht="15.75" customHeight="1">
      <c r="A1262" s="61"/>
      <c r="B1262" s="61"/>
      <c r="C1262" s="61"/>
      <c r="D1262" s="61"/>
      <c r="E1262" s="61"/>
      <c r="F1262" s="61"/>
      <c r="G1262" s="61" t="str">
        <f>IFERROR(__xludf.DUMMYFUNCTION("""COMPUTED_VALUE"""),"")</f>
        <v/>
      </c>
      <c r="H1262" s="63"/>
      <c r="I1262" s="61"/>
      <c r="J1262" s="61"/>
      <c r="K1262" s="61"/>
      <c r="L1262" s="61"/>
      <c r="M1262" s="61"/>
      <c r="N1262" s="61"/>
      <c r="O1262" s="61"/>
      <c r="P1262" s="61"/>
      <c r="Q1262" s="61"/>
      <c r="R1262" s="61"/>
      <c r="S1262" s="61"/>
      <c r="T1262" s="61"/>
      <c r="U1262" s="61"/>
      <c r="V1262" s="61"/>
      <c r="W1262" s="61"/>
      <c r="X1262" s="61"/>
      <c r="Y1262" s="61"/>
      <c r="Z1262" s="61"/>
    </row>
    <row r="1263" ht="15.75" customHeight="1">
      <c r="A1263" s="61"/>
      <c r="B1263" s="61"/>
      <c r="C1263" s="61"/>
      <c r="D1263" s="61"/>
      <c r="E1263" s="61"/>
      <c r="F1263" s="61"/>
      <c r="G1263" s="61" t="str">
        <f>IFERROR(__xludf.DUMMYFUNCTION("""COMPUTED_VALUE"""),"")</f>
        <v/>
      </c>
      <c r="H1263" s="63"/>
      <c r="I1263" s="61"/>
      <c r="J1263" s="61"/>
      <c r="K1263" s="61"/>
      <c r="L1263" s="61"/>
      <c r="M1263" s="61"/>
      <c r="N1263" s="61"/>
      <c r="O1263" s="61"/>
      <c r="P1263" s="61"/>
      <c r="Q1263" s="61"/>
      <c r="R1263" s="61"/>
      <c r="S1263" s="61"/>
      <c r="T1263" s="61"/>
      <c r="U1263" s="61"/>
      <c r="V1263" s="61"/>
      <c r="W1263" s="61"/>
      <c r="X1263" s="61"/>
      <c r="Y1263" s="61"/>
      <c r="Z1263" s="61"/>
    </row>
    <row r="1264" ht="15.75" customHeight="1">
      <c r="A1264" s="61"/>
      <c r="B1264" s="61"/>
      <c r="C1264" s="61"/>
      <c r="D1264" s="61"/>
      <c r="E1264" s="61"/>
      <c r="F1264" s="61"/>
      <c r="G1264" s="61" t="str">
        <f>IFERROR(__xludf.DUMMYFUNCTION("""COMPUTED_VALUE"""),"")</f>
        <v/>
      </c>
      <c r="H1264" s="63"/>
      <c r="I1264" s="61"/>
      <c r="J1264" s="61"/>
      <c r="K1264" s="61"/>
      <c r="L1264" s="61"/>
      <c r="M1264" s="61"/>
      <c r="N1264" s="61"/>
      <c r="O1264" s="61"/>
      <c r="P1264" s="61"/>
      <c r="Q1264" s="61"/>
      <c r="R1264" s="61"/>
      <c r="S1264" s="61"/>
      <c r="T1264" s="61"/>
      <c r="U1264" s="61"/>
      <c r="V1264" s="61"/>
      <c r="W1264" s="61"/>
      <c r="X1264" s="61"/>
      <c r="Y1264" s="61"/>
      <c r="Z1264" s="61"/>
    </row>
    <row r="1265" ht="15.75" customHeight="1">
      <c r="A1265" s="61"/>
      <c r="B1265" s="61"/>
      <c r="C1265" s="61"/>
      <c r="D1265" s="61"/>
      <c r="E1265" s="61"/>
      <c r="F1265" s="61"/>
      <c r="G1265" s="61" t="str">
        <f>IFERROR(__xludf.DUMMYFUNCTION("""COMPUTED_VALUE"""),"")</f>
        <v/>
      </c>
      <c r="H1265" s="63"/>
      <c r="I1265" s="61"/>
      <c r="J1265" s="61"/>
      <c r="K1265" s="61"/>
      <c r="L1265" s="61"/>
      <c r="M1265" s="61"/>
      <c r="N1265" s="61"/>
      <c r="O1265" s="61"/>
      <c r="P1265" s="61"/>
      <c r="Q1265" s="61"/>
      <c r="R1265" s="61"/>
      <c r="S1265" s="61"/>
      <c r="T1265" s="61"/>
      <c r="U1265" s="61"/>
      <c r="V1265" s="61"/>
      <c r="W1265" s="61"/>
      <c r="X1265" s="61"/>
      <c r="Y1265" s="61"/>
      <c r="Z1265" s="61"/>
    </row>
    <row r="1266" ht="15.75" customHeight="1">
      <c r="A1266" s="61"/>
      <c r="B1266" s="61"/>
      <c r="C1266" s="61"/>
      <c r="D1266" s="61"/>
      <c r="E1266" s="61"/>
      <c r="F1266" s="61"/>
      <c r="G1266" s="61" t="str">
        <f>IFERROR(__xludf.DUMMYFUNCTION("""COMPUTED_VALUE"""),"")</f>
        <v/>
      </c>
      <c r="H1266" s="63"/>
      <c r="I1266" s="61"/>
      <c r="J1266" s="61"/>
      <c r="K1266" s="61"/>
      <c r="L1266" s="61"/>
      <c r="M1266" s="61"/>
      <c r="N1266" s="61"/>
      <c r="O1266" s="61"/>
      <c r="P1266" s="61"/>
      <c r="Q1266" s="61"/>
      <c r="R1266" s="61"/>
      <c r="S1266" s="61"/>
      <c r="T1266" s="61"/>
      <c r="U1266" s="61"/>
      <c r="V1266" s="61"/>
      <c r="W1266" s="61"/>
      <c r="X1266" s="61"/>
      <c r="Y1266" s="61"/>
      <c r="Z1266" s="61"/>
    </row>
    <row r="1267" ht="15.75" customHeight="1">
      <c r="A1267" s="61"/>
      <c r="B1267" s="61"/>
      <c r="C1267" s="61"/>
      <c r="D1267" s="61"/>
      <c r="E1267" s="61"/>
      <c r="F1267" s="61"/>
      <c r="G1267" s="61" t="str">
        <f>IFERROR(__xludf.DUMMYFUNCTION("""COMPUTED_VALUE"""),"")</f>
        <v/>
      </c>
      <c r="H1267" s="63"/>
      <c r="I1267" s="61"/>
      <c r="J1267" s="61"/>
      <c r="K1267" s="61"/>
      <c r="L1267" s="61"/>
      <c r="M1267" s="61"/>
      <c r="N1267" s="61"/>
      <c r="O1267" s="61"/>
      <c r="P1267" s="61"/>
      <c r="Q1267" s="61"/>
      <c r="R1267" s="61"/>
      <c r="S1267" s="61"/>
      <c r="T1267" s="61"/>
      <c r="U1267" s="61"/>
      <c r="V1267" s="61"/>
      <c r="W1267" s="61"/>
      <c r="X1267" s="61"/>
      <c r="Y1267" s="61"/>
      <c r="Z1267" s="61"/>
    </row>
    <row r="1268" ht="15.75" customHeight="1">
      <c r="A1268" s="61"/>
      <c r="B1268" s="61"/>
      <c r="C1268" s="61"/>
      <c r="D1268" s="61"/>
      <c r="E1268" s="61"/>
      <c r="F1268" s="61"/>
      <c r="G1268" s="61" t="str">
        <f>IFERROR(__xludf.DUMMYFUNCTION("""COMPUTED_VALUE"""),"")</f>
        <v/>
      </c>
      <c r="H1268" s="63"/>
      <c r="I1268" s="61"/>
      <c r="J1268" s="61"/>
      <c r="K1268" s="61"/>
      <c r="L1268" s="61"/>
      <c r="M1268" s="61"/>
      <c r="N1268" s="61"/>
      <c r="O1268" s="61"/>
      <c r="P1268" s="61"/>
      <c r="Q1268" s="61"/>
      <c r="R1268" s="61"/>
      <c r="S1268" s="61"/>
      <c r="T1268" s="61"/>
      <c r="U1268" s="61"/>
      <c r="V1268" s="61"/>
      <c r="W1268" s="61"/>
      <c r="X1268" s="61"/>
      <c r="Y1268" s="61"/>
      <c r="Z1268" s="61"/>
    </row>
    <row r="1269" ht="15.75" customHeight="1">
      <c r="A1269" s="61"/>
      <c r="B1269" s="61"/>
      <c r="C1269" s="61"/>
      <c r="D1269" s="61"/>
      <c r="E1269" s="61"/>
      <c r="F1269" s="61"/>
      <c r="G1269" s="61" t="str">
        <f>IFERROR(__xludf.DUMMYFUNCTION("""COMPUTED_VALUE"""),"")</f>
        <v/>
      </c>
      <c r="H1269" s="63"/>
      <c r="I1269" s="61"/>
      <c r="J1269" s="61"/>
      <c r="K1269" s="61"/>
      <c r="L1269" s="61"/>
      <c r="M1269" s="61"/>
      <c r="N1269" s="61"/>
      <c r="O1269" s="61"/>
      <c r="P1269" s="61"/>
      <c r="Q1269" s="61"/>
      <c r="R1269" s="61"/>
      <c r="S1269" s="61"/>
      <c r="T1269" s="61"/>
      <c r="U1269" s="61"/>
      <c r="V1269" s="61"/>
      <c r="W1269" s="61"/>
      <c r="X1269" s="61"/>
      <c r="Y1269" s="61"/>
      <c r="Z1269" s="61"/>
    </row>
    <row r="1270" ht="15.75" customHeight="1">
      <c r="A1270" s="61"/>
      <c r="B1270" s="61"/>
      <c r="C1270" s="61"/>
      <c r="D1270" s="61"/>
      <c r="E1270" s="61"/>
      <c r="F1270" s="61"/>
      <c r="G1270" s="61" t="str">
        <f>IFERROR(__xludf.DUMMYFUNCTION("""COMPUTED_VALUE"""),"")</f>
        <v/>
      </c>
      <c r="H1270" s="63"/>
      <c r="I1270" s="61"/>
      <c r="J1270" s="61"/>
      <c r="K1270" s="61"/>
      <c r="L1270" s="61"/>
      <c r="M1270" s="61"/>
      <c r="N1270" s="61"/>
      <c r="O1270" s="61"/>
      <c r="P1270" s="61"/>
      <c r="Q1270" s="61"/>
      <c r="R1270" s="61"/>
      <c r="S1270" s="61"/>
      <c r="T1270" s="61"/>
      <c r="U1270" s="61"/>
      <c r="V1270" s="61"/>
      <c r="W1270" s="61"/>
      <c r="X1270" s="61"/>
      <c r="Y1270" s="61"/>
      <c r="Z1270" s="61"/>
    </row>
    <row r="1271" ht="15.75" customHeight="1">
      <c r="A1271" s="61"/>
      <c r="B1271" s="61"/>
      <c r="C1271" s="61"/>
      <c r="D1271" s="61"/>
      <c r="E1271" s="61"/>
      <c r="F1271" s="61"/>
      <c r="G1271" s="61" t="str">
        <f>IFERROR(__xludf.DUMMYFUNCTION("""COMPUTED_VALUE"""),"")</f>
        <v/>
      </c>
      <c r="H1271" s="63"/>
      <c r="I1271" s="61"/>
      <c r="J1271" s="61"/>
      <c r="K1271" s="61"/>
      <c r="L1271" s="61"/>
      <c r="M1271" s="61"/>
      <c r="N1271" s="61"/>
      <c r="O1271" s="61"/>
      <c r="P1271" s="61"/>
      <c r="Q1271" s="61"/>
      <c r="R1271" s="61"/>
      <c r="S1271" s="61"/>
      <c r="T1271" s="61"/>
      <c r="U1271" s="61"/>
      <c r="V1271" s="61"/>
      <c r="W1271" s="61"/>
      <c r="X1271" s="61"/>
      <c r="Y1271" s="61"/>
      <c r="Z1271" s="61"/>
    </row>
    <row r="1272" ht="15.75" customHeight="1">
      <c r="A1272" s="61"/>
      <c r="B1272" s="61"/>
      <c r="C1272" s="61"/>
      <c r="D1272" s="61"/>
      <c r="E1272" s="61"/>
      <c r="F1272" s="61"/>
      <c r="G1272" s="61" t="str">
        <f>IFERROR(__xludf.DUMMYFUNCTION("""COMPUTED_VALUE"""),"")</f>
        <v/>
      </c>
      <c r="H1272" s="63"/>
      <c r="I1272" s="61"/>
      <c r="J1272" s="61"/>
      <c r="K1272" s="61"/>
      <c r="L1272" s="61"/>
      <c r="M1272" s="61"/>
      <c r="N1272" s="61"/>
      <c r="O1272" s="61"/>
      <c r="P1272" s="61"/>
      <c r="Q1272" s="61"/>
      <c r="R1272" s="61"/>
      <c r="S1272" s="61"/>
      <c r="T1272" s="61"/>
      <c r="U1272" s="61"/>
      <c r="V1272" s="61"/>
      <c r="W1272" s="61"/>
      <c r="X1272" s="61"/>
      <c r="Y1272" s="61"/>
      <c r="Z1272" s="61"/>
    </row>
    <row r="1273" ht="15.75" customHeight="1">
      <c r="A1273" s="61"/>
      <c r="B1273" s="61"/>
      <c r="C1273" s="61"/>
      <c r="D1273" s="61"/>
      <c r="E1273" s="61"/>
      <c r="F1273" s="61"/>
      <c r="G1273" s="61" t="str">
        <f>IFERROR(__xludf.DUMMYFUNCTION("""COMPUTED_VALUE"""),"")</f>
        <v/>
      </c>
      <c r="H1273" s="63"/>
      <c r="I1273" s="61"/>
      <c r="J1273" s="61"/>
      <c r="K1273" s="61"/>
      <c r="L1273" s="61"/>
      <c r="M1273" s="61"/>
      <c r="N1273" s="61"/>
      <c r="O1273" s="61"/>
      <c r="P1273" s="61"/>
      <c r="Q1273" s="61"/>
      <c r="R1273" s="61"/>
      <c r="S1273" s="61"/>
      <c r="T1273" s="61"/>
      <c r="U1273" s="61"/>
      <c r="V1273" s="61"/>
      <c r="W1273" s="61"/>
      <c r="X1273" s="61"/>
      <c r="Y1273" s="61"/>
      <c r="Z1273" s="61"/>
    </row>
    <row r="1274" ht="15.75" customHeight="1">
      <c r="A1274" s="61"/>
      <c r="B1274" s="61"/>
      <c r="C1274" s="61"/>
      <c r="D1274" s="61"/>
      <c r="E1274" s="61"/>
      <c r="F1274" s="61"/>
      <c r="G1274" s="61" t="str">
        <f>IFERROR(__xludf.DUMMYFUNCTION("""COMPUTED_VALUE"""),"")</f>
        <v/>
      </c>
      <c r="H1274" s="63"/>
      <c r="I1274" s="61"/>
      <c r="J1274" s="61"/>
      <c r="K1274" s="61"/>
      <c r="L1274" s="61"/>
      <c r="M1274" s="61"/>
      <c r="N1274" s="61"/>
      <c r="O1274" s="61"/>
      <c r="P1274" s="61"/>
      <c r="Q1274" s="61"/>
      <c r="R1274" s="61"/>
      <c r="S1274" s="61"/>
      <c r="T1274" s="61"/>
      <c r="U1274" s="61"/>
      <c r="V1274" s="61"/>
      <c r="W1274" s="61"/>
      <c r="X1274" s="61"/>
      <c r="Y1274" s="61"/>
      <c r="Z1274" s="61"/>
    </row>
    <row r="1275" ht="15.75" customHeight="1">
      <c r="A1275" s="61"/>
      <c r="B1275" s="61"/>
      <c r="C1275" s="61"/>
      <c r="D1275" s="61"/>
      <c r="E1275" s="61"/>
      <c r="F1275" s="61"/>
      <c r="G1275" s="61" t="str">
        <f>IFERROR(__xludf.DUMMYFUNCTION("""COMPUTED_VALUE"""),"")</f>
        <v/>
      </c>
      <c r="H1275" s="63"/>
      <c r="I1275" s="61"/>
      <c r="J1275" s="61"/>
      <c r="K1275" s="61"/>
      <c r="L1275" s="61"/>
      <c r="M1275" s="61"/>
      <c r="N1275" s="61"/>
      <c r="O1275" s="61"/>
      <c r="P1275" s="61"/>
      <c r="Q1275" s="61"/>
      <c r="R1275" s="61"/>
      <c r="S1275" s="61"/>
      <c r="T1275" s="61"/>
      <c r="U1275" s="61"/>
      <c r="V1275" s="61"/>
      <c r="W1275" s="61"/>
      <c r="X1275" s="61"/>
      <c r="Y1275" s="61"/>
      <c r="Z1275" s="61"/>
    </row>
    <row r="1276" ht="15.75" customHeight="1">
      <c r="A1276" s="61"/>
      <c r="B1276" s="61"/>
      <c r="C1276" s="61"/>
      <c r="D1276" s="61"/>
      <c r="E1276" s="61"/>
      <c r="F1276" s="61"/>
      <c r="G1276" s="61" t="str">
        <f>IFERROR(__xludf.DUMMYFUNCTION("""COMPUTED_VALUE"""),"")</f>
        <v/>
      </c>
      <c r="H1276" s="63"/>
      <c r="I1276" s="61"/>
      <c r="J1276" s="61"/>
      <c r="K1276" s="61"/>
      <c r="L1276" s="61"/>
      <c r="M1276" s="61"/>
      <c r="N1276" s="61"/>
      <c r="O1276" s="61"/>
      <c r="P1276" s="61"/>
      <c r="Q1276" s="61"/>
      <c r="R1276" s="61"/>
      <c r="S1276" s="61"/>
      <c r="T1276" s="61"/>
      <c r="U1276" s="61"/>
      <c r="V1276" s="61"/>
      <c r="W1276" s="61"/>
      <c r="X1276" s="61"/>
      <c r="Y1276" s="61"/>
      <c r="Z1276" s="61"/>
    </row>
    <row r="1277" ht="15.75" customHeight="1">
      <c r="A1277" s="61"/>
      <c r="B1277" s="61"/>
      <c r="C1277" s="61"/>
      <c r="D1277" s="61"/>
      <c r="E1277" s="61"/>
      <c r="F1277" s="61"/>
      <c r="G1277" s="61" t="str">
        <f>IFERROR(__xludf.DUMMYFUNCTION("""COMPUTED_VALUE"""),"")</f>
        <v/>
      </c>
      <c r="H1277" s="63"/>
      <c r="I1277" s="61"/>
      <c r="J1277" s="61"/>
      <c r="K1277" s="61"/>
      <c r="L1277" s="61"/>
      <c r="M1277" s="61"/>
      <c r="N1277" s="61"/>
      <c r="O1277" s="61"/>
      <c r="P1277" s="61"/>
      <c r="Q1277" s="61"/>
      <c r="R1277" s="61"/>
      <c r="S1277" s="61"/>
      <c r="T1277" s="61"/>
      <c r="U1277" s="61"/>
      <c r="V1277" s="61"/>
      <c r="W1277" s="61"/>
      <c r="X1277" s="61"/>
      <c r="Y1277" s="61"/>
      <c r="Z1277" s="61"/>
    </row>
    <row r="1278" ht="15.75" customHeight="1">
      <c r="A1278" s="61"/>
      <c r="B1278" s="61"/>
      <c r="C1278" s="61"/>
      <c r="D1278" s="61"/>
      <c r="E1278" s="61"/>
      <c r="F1278" s="61"/>
      <c r="G1278" s="61" t="str">
        <f>IFERROR(__xludf.DUMMYFUNCTION("""COMPUTED_VALUE"""),"")</f>
        <v/>
      </c>
      <c r="H1278" s="63"/>
      <c r="I1278" s="61"/>
      <c r="J1278" s="61"/>
      <c r="K1278" s="61"/>
      <c r="L1278" s="61"/>
      <c r="M1278" s="61"/>
      <c r="N1278" s="61"/>
      <c r="O1278" s="61"/>
      <c r="P1278" s="61"/>
      <c r="Q1278" s="61"/>
      <c r="R1278" s="61"/>
      <c r="S1278" s="61"/>
      <c r="T1278" s="61"/>
      <c r="U1278" s="61"/>
      <c r="V1278" s="61"/>
      <c r="W1278" s="61"/>
      <c r="X1278" s="61"/>
      <c r="Y1278" s="61"/>
      <c r="Z1278" s="61"/>
    </row>
    <row r="1279" ht="15.75" customHeight="1">
      <c r="A1279" s="61"/>
      <c r="B1279" s="61"/>
      <c r="C1279" s="61"/>
      <c r="D1279" s="61"/>
      <c r="E1279" s="61"/>
      <c r="F1279" s="61"/>
      <c r="G1279" s="61" t="str">
        <f>IFERROR(__xludf.DUMMYFUNCTION("""COMPUTED_VALUE"""),"")</f>
        <v/>
      </c>
      <c r="H1279" s="63"/>
      <c r="I1279" s="61"/>
      <c r="J1279" s="61"/>
      <c r="K1279" s="61"/>
      <c r="L1279" s="61"/>
      <c r="M1279" s="61"/>
      <c r="N1279" s="61"/>
      <c r="O1279" s="61"/>
      <c r="P1279" s="61"/>
      <c r="Q1279" s="61"/>
      <c r="R1279" s="61"/>
      <c r="S1279" s="61"/>
      <c r="T1279" s="61"/>
      <c r="U1279" s="61"/>
      <c r="V1279" s="61"/>
      <c r="W1279" s="61"/>
      <c r="X1279" s="61"/>
      <c r="Y1279" s="61"/>
      <c r="Z1279" s="61"/>
    </row>
    <row r="1280" ht="15.75" customHeight="1">
      <c r="A1280" s="61"/>
      <c r="B1280" s="61"/>
      <c r="C1280" s="61"/>
      <c r="D1280" s="61"/>
      <c r="E1280" s="61"/>
      <c r="F1280" s="61"/>
      <c r="G1280" s="61" t="str">
        <f>IFERROR(__xludf.DUMMYFUNCTION("""COMPUTED_VALUE"""),"")</f>
        <v/>
      </c>
      <c r="H1280" s="63"/>
      <c r="I1280" s="61"/>
      <c r="J1280" s="61"/>
      <c r="K1280" s="61"/>
      <c r="L1280" s="61"/>
      <c r="M1280" s="61"/>
      <c r="N1280" s="61"/>
      <c r="O1280" s="61"/>
      <c r="P1280" s="61"/>
      <c r="Q1280" s="61"/>
      <c r="R1280" s="61"/>
      <c r="S1280" s="61"/>
      <c r="T1280" s="61"/>
      <c r="U1280" s="61"/>
      <c r="V1280" s="61"/>
      <c r="W1280" s="61"/>
      <c r="X1280" s="61"/>
      <c r="Y1280" s="61"/>
      <c r="Z1280" s="61"/>
    </row>
    <row r="1281" ht="15.75" customHeight="1">
      <c r="A1281" s="61"/>
      <c r="B1281" s="61"/>
      <c r="C1281" s="61"/>
      <c r="D1281" s="61"/>
      <c r="E1281" s="61"/>
      <c r="F1281" s="61"/>
      <c r="G1281" s="61" t="str">
        <f>IFERROR(__xludf.DUMMYFUNCTION("""COMPUTED_VALUE"""),"")</f>
        <v/>
      </c>
      <c r="H1281" s="63"/>
      <c r="I1281" s="61"/>
      <c r="J1281" s="61"/>
      <c r="K1281" s="61"/>
      <c r="L1281" s="61"/>
      <c r="M1281" s="61"/>
      <c r="N1281" s="61"/>
      <c r="O1281" s="61"/>
      <c r="P1281" s="61"/>
      <c r="Q1281" s="61"/>
      <c r="R1281" s="61"/>
      <c r="S1281" s="61"/>
      <c r="T1281" s="61"/>
      <c r="U1281" s="61"/>
      <c r="V1281" s="61"/>
      <c r="W1281" s="61"/>
      <c r="X1281" s="61"/>
      <c r="Y1281" s="61"/>
      <c r="Z1281" s="61"/>
    </row>
    <row r="1282" ht="15.75" customHeight="1">
      <c r="A1282" s="61"/>
      <c r="B1282" s="61"/>
      <c r="C1282" s="61"/>
      <c r="D1282" s="61"/>
      <c r="E1282" s="61"/>
      <c r="F1282" s="61"/>
      <c r="G1282" s="61" t="str">
        <f>IFERROR(__xludf.DUMMYFUNCTION("""COMPUTED_VALUE"""),"")</f>
        <v/>
      </c>
      <c r="H1282" s="63"/>
      <c r="I1282" s="61"/>
      <c r="J1282" s="61"/>
      <c r="K1282" s="61"/>
      <c r="L1282" s="61"/>
      <c r="M1282" s="61"/>
      <c r="N1282" s="61"/>
      <c r="O1282" s="61"/>
      <c r="P1282" s="61"/>
      <c r="Q1282" s="61"/>
      <c r="R1282" s="61"/>
      <c r="S1282" s="61"/>
      <c r="T1282" s="61"/>
      <c r="U1282" s="61"/>
      <c r="V1282" s="61"/>
      <c r="W1282" s="61"/>
      <c r="X1282" s="61"/>
      <c r="Y1282" s="61"/>
      <c r="Z1282" s="61"/>
    </row>
    <row r="1283" ht="15.75" customHeight="1">
      <c r="A1283" s="61"/>
      <c r="B1283" s="61"/>
      <c r="C1283" s="61"/>
      <c r="D1283" s="61"/>
      <c r="E1283" s="61"/>
      <c r="F1283" s="61"/>
      <c r="G1283" s="61" t="str">
        <f>IFERROR(__xludf.DUMMYFUNCTION("""COMPUTED_VALUE"""),"")</f>
        <v/>
      </c>
      <c r="H1283" s="63"/>
      <c r="I1283" s="61"/>
      <c r="J1283" s="61"/>
      <c r="K1283" s="61"/>
      <c r="L1283" s="61"/>
      <c r="M1283" s="61"/>
      <c r="N1283" s="61"/>
      <c r="O1283" s="61"/>
      <c r="P1283" s="61"/>
      <c r="Q1283" s="61"/>
      <c r="R1283" s="61"/>
      <c r="S1283" s="61"/>
      <c r="T1283" s="61"/>
      <c r="U1283" s="61"/>
      <c r="V1283" s="61"/>
      <c r="W1283" s="61"/>
      <c r="X1283" s="61"/>
      <c r="Y1283" s="61"/>
      <c r="Z1283" s="61"/>
    </row>
    <row r="1284" ht="15.75" customHeight="1">
      <c r="A1284" s="61"/>
      <c r="B1284" s="61"/>
      <c r="C1284" s="61"/>
      <c r="D1284" s="61"/>
      <c r="E1284" s="61"/>
      <c r="F1284" s="61"/>
      <c r="G1284" s="61" t="str">
        <f>IFERROR(__xludf.DUMMYFUNCTION("""COMPUTED_VALUE"""),"")</f>
        <v/>
      </c>
      <c r="H1284" s="63"/>
      <c r="I1284" s="61"/>
      <c r="J1284" s="61"/>
      <c r="K1284" s="61"/>
      <c r="L1284" s="61"/>
      <c r="M1284" s="61"/>
      <c r="N1284" s="61"/>
      <c r="O1284" s="61"/>
      <c r="P1284" s="61"/>
      <c r="Q1284" s="61"/>
      <c r="R1284" s="61"/>
      <c r="S1284" s="61"/>
      <c r="T1284" s="61"/>
      <c r="U1284" s="61"/>
      <c r="V1284" s="61"/>
      <c r="W1284" s="61"/>
      <c r="X1284" s="61"/>
      <c r="Y1284" s="61"/>
      <c r="Z1284" s="61"/>
    </row>
    <row r="1285" ht="15.75" customHeight="1">
      <c r="A1285" s="61"/>
      <c r="B1285" s="61"/>
      <c r="C1285" s="61"/>
      <c r="D1285" s="61"/>
      <c r="E1285" s="61"/>
      <c r="F1285" s="61"/>
      <c r="G1285" s="61" t="str">
        <f>IFERROR(__xludf.DUMMYFUNCTION("""COMPUTED_VALUE"""),"")</f>
        <v/>
      </c>
      <c r="H1285" s="63"/>
      <c r="I1285" s="61"/>
      <c r="J1285" s="61"/>
      <c r="K1285" s="61"/>
      <c r="L1285" s="61"/>
      <c r="M1285" s="61"/>
      <c r="N1285" s="61"/>
      <c r="O1285" s="61"/>
      <c r="P1285" s="61"/>
      <c r="Q1285" s="61"/>
      <c r="R1285" s="61"/>
      <c r="S1285" s="61"/>
      <c r="T1285" s="61"/>
      <c r="U1285" s="61"/>
      <c r="V1285" s="61"/>
      <c r="W1285" s="61"/>
      <c r="X1285" s="61"/>
      <c r="Y1285" s="61"/>
      <c r="Z1285" s="61"/>
    </row>
    <row r="1286" ht="15.75" customHeight="1">
      <c r="A1286" s="61"/>
      <c r="B1286" s="61"/>
      <c r="C1286" s="61"/>
      <c r="D1286" s="61"/>
      <c r="E1286" s="61"/>
      <c r="F1286" s="61"/>
      <c r="G1286" s="61" t="str">
        <f>IFERROR(__xludf.DUMMYFUNCTION("""COMPUTED_VALUE"""),"")</f>
        <v/>
      </c>
      <c r="H1286" s="63"/>
      <c r="I1286" s="61"/>
      <c r="J1286" s="61"/>
      <c r="K1286" s="61"/>
      <c r="L1286" s="61"/>
      <c r="M1286" s="61"/>
      <c r="N1286" s="61"/>
      <c r="O1286" s="61"/>
      <c r="P1286" s="61"/>
      <c r="Q1286" s="61"/>
      <c r="R1286" s="61"/>
      <c r="S1286" s="61"/>
      <c r="T1286" s="61"/>
      <c r="U1286" s="61"/>
      <c r="V1286" s="61"/>
      <c r="W1286" s="61"/>
      <c r="X1286" s="61"/>
      <c r="Y1286" s="61"/>
      <c r="Z1286" s="61"/>
    </row>
    <row r="1287" ht="15.75" customHeight="1">
      <c r="A1287" s="61"/>
      <c r="B1287" s="61"/>
      <c r="C1287" s="61"/>
      <c r="D1287" s="61"/>
      <c r="E1287" s="61"/>
      <c r="F1287" s="61"/>
      <c r="G1287" s="61" t="str">
        <f>IFERROR(__xludf.DUMMYFUNCTION("""COMPUTED_VALUE"""),"")</f>
        <v/>
      </c>
      <c r="H1287" s="63"/>
      <c r="I1287" s="61"/>
      <c r="J1287" s="61"/>
      <c r="K1287" s="61"/>
      <c r="L1287" s="61"/>
      <c r="M1287" s="61"/>
      <c r="N1287" s="61"/>
      <c r="O1287" s="61"/>
      <c r="P1287" s="61"/>
      <c r="Q1287" s="61"/>
      <c r="R1287" s="61"/>
      <c r="S1287" s="61"/>
      <c r="T1287" s="61"/>
      <c r="U1287" s="61"/>
      <c r="V1287" s="61"/>
      <c r="W1287" s="61"/>
      <c r="X1287" s="61"/>
      <c r="Y1287" s="61"/>
      <c r="Z1287" s="61"/>
    </row>
    <row r="1288" ht="15.75" customHeight="1">
      <c r="A1288" s="61"/>
      <c r="B1288" s="61"/>
      <c r="C1288" s="61"/>
      <c r="D1288" s="61"/>
      <c r="E1288" s="61"/>
      <c r="F1288" s="61"/>
      <c r="G1288" s="61" t="str">
        <f>IFERROR(__xludf.DUMMYFUNCTION("""COMPUTED_VALUE"""),"")</f>
        <v/>
      </c>
      <c r="H1288" s="63"/>
      <c r="I1288" s="61"/>
      <c r="J1288" s="61"/>
      <c r="K1288" s="61"/>
      <c r="L1288" s="61"/>
      <c r="M1288" s="61"/>
      <c r="N1288" s="61"/>
      <c r="O1288" s="61"/>
      <c r="P1288" s="61"/>
      <c r="Q1288" s="61"/>
      <c r="R1288" s="61"/>
      <c r="S1288" s="61"/>
      <c r="T1288" s="61"/>
      <c r="U1288" s="61"/>
      <c r="V1288" s="61"/>
      <c r="W1288" s="61"/>
      <c r="X1288" s="61"/>
      <c r="Y1288" s="61"/>
      <c r="Z1288" s="61"/>
    </row>
    <row r="1289" ht="15.75" customHeight="1">
      <c r="A1289" s="61"/>
      <c r="B1289" s="61"/>
      <c r="C1289" s="61"/>
      <c r="D1289" s="61"/>
      <c r="E1289" s="61"/>
      <c r="F1289" s="61"/>
      <c r="G1289" s="61" t="str">
        <f>IFERROR(__xludf.DUMMYFUNCTION("""COMPUTED_VALUE"""),"")</f>
        <v/>
      </c>
      <c r="H1289" s="63"/>
      <c r="I1289" s="61"/>
      <c r="J1289" s="61"/>
      <c r="K1289" s="61"/>
      <c r="L1289" s="61"/>
      <c r="M1289" s="61"/>
      <c r="N1289" s="61"/>
      <c r="O1289" s="61"/>
      <c r="P1289" s="61"/>
      <c r="Q1289" s="61"/>
      <c r="R1289" s="61"/>
      <c r="S1289" s="61"/>
      <c r="T1289" s="61"/>
      <c r="U1289" s="61"/>
      <c r="V1289" s="61"/>
      <c r="W1289" s="61"/>
      <c r="X1289" s="61"/>
      <c r="Y1289" s="61"/>
      <c r="Z1289" s="61"/>
    </row>
    <row r="1290" ht="15.75" customHeight="1">
      <c r="A1290" s="61"/>
      <c r="B1290" s="61"/>
      <c r="C1290" s="61"/>
      <c r="D1290" s="61"/>
      <c r="E1290" s="61"/>
      <c r="F1290" s="61"/>
      <c r="G1290" s="61" t="str">
        <f>IFERROR(__xludf.DUMMYFUNCTION("""COMPUTED_VALUE"""),"")</f>
        <v/>
      </c>
      <c r="H1290" s="63"/>
      <c r="I1290" s="61"/>
      <c r="J1290" s="61"/>
      <c r="K1290" s="61"/>
      <c r="L1290" s="61"/>
      <c r="M1290" s="61"/>
      <c r="N1290" s="61"/>
      <c r="O1290" s="61"/>
      <c r="P1290" s="61"/>
      <c r="Q1290" s="61"/>
      <c r="R1290" s="61"/>
      <c r="S1290" s="61"/>
      <c r="T1290" s="61"/>
      <c r="U1290" s="61"/>
      <c r="V1290" s="61"/>
      <c r="W1290" s="61"/>
      <c r="X1290" s="61"/>
      <c r="Y1290" s="61"/>
      <c r="Z1290" s="61"/>
    </row>
    <row r="1291" ht="15.75" customHeight="1">
      <c r="A1291" s="61"/>
      <c r="B1291" s="61"/>
      <c r="C1291" s="61"/>
      <c r="D1291" s="61"/>
      <c r="E1291" s="61"/>
      <c r="F1291" s="61"/>
      <c r="G1291" s="61" t="str">
        <f>IFERROR(__xludf.DUMMYFUNCTION("""COMPUTED_VALUE"""),"")</f>
        <v/>
      </c>
      <c r="H1291" s="63"/>
      <c r="I1291" s="61"/>
      <c r="J1291" s="61"/>
      <c r="K1291" s="61"/>
      <c r="L1291" s="61"/>
      <c r="M1291" s="61"/>
      <c r="N1291" s="61"/>
      <c r="O1291" s="61"/>
      <c r="P1291" s="61"/>
      <c r="Q1291" s="61"/>
      <c r="R1291" s="61"/>
      <c r="S1291" s="61"/>
      <c r="T1291" s="61"/>
      <c r="U1291" s="61"/>
      <c r="V1291" s="61"/>
      <c r="W1291" s="61"/>
      <c r="X1291" s="61"/>
      <c r="Y1291" s="61"/>
      <c r="Z1291" s="61"/>
    </row>
    <row r="1292" ht="15.75" customHeight="1">
      <c r="A1292" s="61"/>
      <c r="B1292" s="61"/>
      <c r="C1292" s="61"/>
      <c r="D1292" s="61"/>
      <c r="E1292" s="61"/>
      <c r="F1292" s="61"/>
      <c r="G1292" s="61" t="str">
        <f>IFERROR(__xludf.DUMMYFUNCTION("""COMPUTED_VALUE"""),"")</f>
        <v/>
      </c>
      <c r="H1292" s="63"/>
      <c r="I1292" s="61"/>
      <c r="J1292" s="61"/>
      <c r="K1292" s="61"/>
      <c r="L1292" s="61"/>
      <c r="M1292" s="61"/>
      <c r="N1292" s="61"/>
      <c r="O1292" s="61"/>
      <c r="P1292" s="61"/>
      <c r="Q1292" s="61"/>
      <c r="R1292" s="61"/>
      <c r="S1292" s="61"/>
      <c r="T1292" s="61"/>
      <c r="U1292" s="61"/>
      <c r="V1292" s="61"/>
      <c r="W1292" s="61"/>
      <c r="X1292" s="61"/>
      <c r="Y1292" s="61"/>
      <c r="Z1292" s="61"/>
    </row>
    <row r="1293" ht="15.75" customHeight="1">
      <c r="A1293" s="61"/>
      <c r="B1293" s="61"/>
      <c r="C1293" s="61"/>
      <c r="D1293" s="61"/>
      <c r="E1293" s="61"/>
      <c r="F1293" s="61"/>
      <c r="G1293" s="61" t="str">
        <f>IFERROR(__xludf.DUMMYFUNCTION("""COMPUTED_VALUE"""),"")</f>
        <v/>
      </c>
      <c r="H1293" s="63"/>
      <c r="I1293" s="61"/>
      <c r="J1293" s="61"/>
      <c r="K1293" s="61"/>
      <c r="L1293" s="61"/>
      <c r="M1293" s="61"/>
      <c r="N1293" s="61"/>
      <c r="O1293" s="61"/>
      <c r="P1293" s="61"/>
      <c r="Q1293" s="61"/>
      <c r="R1293" s="61"/>
      <c r="S1293" s="61"/>
      <c r="T1293" s="61"/>
      <c r="U1293" s="61"/>
      <c r="V1293" s="61"/>
      <c r="W1293" s="61"/>
      <c r="X1293" s="61"/>
      <c r="Y1293" s="61"/>
      <c r="Z1293" s="61"/>
    </row>
    <row r="1294" ht="15.75" customHeight="1">
      <c r="A1294" s="61"/>
      <c r="B1294" s="61"/>
      <c r="C1294" s="61"/>
      <c r="D1294" s="61"/>
      <c r="E1294" s="61"/>
      <c r="F1294" s="61"/>
      <c r="G1294" s="61" t="str">
        <f>IFERROR(__xludf.DUMMYFUNCTION("""COMPUTED_VALUE"""),"")</f>
        <v/>
      </c>
      <c r="H1294" s="63"/>
      <c r="I1294" s="61"/>
      <c r="J1294" s="61"/>
      <c r="K1294" s="61"/>
      <c r="L1294" s="61"/>
      <c r="M1294" s="61"/>
      <c r="N1294" s="61"/>
      <c r="O1294" s="61"/>
      <c r="P1294" s="61"/>
      <c r="Q1294" s="61"/>
      <c r="R1294" s="61"/>
      <c r="S1294" s="61"/>
      <c r="T1294" s="61"/>
      <c r="U1294" s="61"/>
      <c r="V1294" s="61"/>
      <c r="W1294" s="61"/>
      <c r="X1294" s="61"/>
      <c r="Y1294" s="61"/>
      <c r="Z1294" s="61"/>
    </row>
    <row r="1295" ht="15.75" customHeight="1">
      <c r="A1295" s="61"/>
      <c r="B1295" s="61"/>
      <c r="C1295" s="61"/>
      <c r="D1295" s="61"/>
      <c r="E1295" s="61"/>
      <c r="F1295" s="61"/>
      <c r="G1295" s="61" t="str">
        <f>IFERROR(__xludf.DUMMYFUNCTION("""COMPUTED_VALUE"""),"")</f>
        <v/>
      </c>
      <c r="H1295" s="63"/>
      <c r="I1295" s="61"/>
      <c r="J1295" s="61"/>
      <c r="K1295" s="61"/>
      <c r="L1295" s="61"/>
      <c r="M1295" s="61"/>
      <c r="N1295" s="61"/>
      <c r="O1295" s="61"/>
      <c r="P1295" s="61"/>
      <c r="Q1295" s="61"/>
      <c r="R1295" s="61"/>
      <c r="S1295" s="61"/>
      <c r="T1295" s="61"/>
      <c r="U1295" s="61"/>
      <c r="V1295" s="61"/>
      <c r="W1295" s="61"/>
      <c r="X1295" s="61"/>
      <c r="Y1295" s="61"/>
      <c r="Z1295" s="61"/>
    </row>
    <row r="1296" ht="15.75" customHeight="1">
      <c r="A1296" s="61"/>
      <c r="B1296" s="61"/>
      <c r="C1296" s="61"/>
      <c r="D1296" s="61"/>
      <c r="E1296" s="61"/>
      <c r="F1296" s="61"/>
      <c r="G1296" s="61" t="str">
        <f>IFERROR(__xludf.DUMMYFUNCTION("""COMPUTED_VALUE"""),"")</f>
        <v/>
      </c>
      <c r="H1296" s="63"/>
      <c r="I1296" s="61"/>
      <c r="J1296" s="61"/>
      <c r="K1296" s="61"/>
      <c r="L1296" s="61"/>
      <c r="M1296" s="61"/>
      <c r="N1296" s="61"/>
      <c r="O1296" s="61"/>
      <c r="P1296" s="61"/>
      <c r="Q1296" s="61"/>
      <c r="R1296" s="61"/>
      <c r="S1296" s="61"/>
      <c r="T1296" s="61"/>
      <c r="U1296" s="61"/>
      <c r="V1296" s="61"/>
      <c r="W1296" s="61"/>
      <c r="X1296" s="61"/>
      <c r="Y1296" s="61"/>
      <c r="Z1296" s="61"/>
    </row>
    <row r="1297" ht="15.75" customHeight="1">
      <c r="A1297" s="61"/>
      <c r="B1297" s="61"/>
      <c r="C1297" s="61"/>
      <c r="D1297" s="61"/>
      <c r="E1297" s="61"/>
      <c r="F1297" s="61"/>
      <c r="G1297" s="61" t="str">
        <f>IFERROR(__xludf.DUMMYFUNCTION("""COMPUTED_VALUE"""),"")</f>
        <v/>
      </c>
      <c r="H1297" s="63"/>
      <c r="I1297" s="61"/>
      <c r="J1297" s="61"/>
      <c r="K1297" s="61"/>
      <c r="L1297" s="61"/>
      <c r="M1297" s="61"/>
      <c r="N1297" s="61"/>
      <c r="O1297" s="61"/>
      <c r="P1297" s="61"/>
      <c r="Q1297" s="61"/>
      <c r="R1297" s="61"/>
      <c r="S1297" s="61"/>
      <c r="T1297" s="61"/>
      <c r="U1297" s="61"/>
      <c r="V1297" s="61"/>
      <c r="W1297" s="61"/>
      <c r="X1297" s="61"/>
      <c r="Y1297" s="61"/>
      <c r="Z1297" s="61"/>
    </row>
    <row r="1298" ht="15.75" customHeight="1">
      <c r="A1298" s="61"/>
      <c r="B1298" s="61"/>
      <c r="C1298" s="61"/>
      <c r="D1298" s="61"/>
      <c r="E1298" s="61"/>
      <c r="F1298" s="61"/>
      <c r="G1298" s="61" t="str">
        <f>IFERROR(__xludf.DUMMYFUNCTION("""COMPUTED_VALUE"""),"")</f>
        <v/>
      </c>
      <c r="H1298" s="63"/>
      <c r="I1298" s="61"/>
      <c r="J1298" s="61"/>
      <c r="K1298" s="61"/>
      <c r="L1298" s="61"/>
      <c r="M1298" s="61"/>
      <c r="N1298" s="61"/>
      <c r="O1298" s="61"/>
      <c r="P1298" s="61"/>
      <c r="Q1298" s="61"/>
      <c r="R1298" s="61"/>
      <c r="S1298" s="61"/>
      <c r="T1298" s="61"/>
      <c r="U1298" s="61"/>
      <c r="V1298" s="61"/>
      <c r="W1298" s="61"/>
      <c r="X1298" s="61"/>
      <c r="Y1298" s="61"/>
      <c r="Z1298" s="61"/>
    </row>
    <row r="1299" ht="15.75" customHeight="1">
      <c r="A1299" s="61"/>
      <c r="B1299" s="61"/>
      <c r="C1299" s="61"/>
      <c r="D1299" s="61"/>
      <c r="E1299" s="61"/>
      <c r="F1299" s="61"/>
      <c r="G1299" s="61" t="str">
        <f>IFERROR(__xludf.DUMMYFUNCTION("""COMPUTED_VALUE"""),"")</f>
        <v/>
      </c>
      <c r="H1299" s="63"/>
      <c r="I1299" s="61"/>
      <c r="J1299" s="61"/>
      <c r="K1299" s="61"/>
      <c r="L1299" s="61"/>
      <c r="M1299" s="61"/>
      <c r="N1299" s="61"/>
      <c r="O1299" s="61"/>
      <c r="P1299" s="61"/>
      <c r="Q1299" s="61"/>
      <c r="R1299" s="61"/>
      <c r="S1299" s="61"/>
      <c r="T1299" s="61"/>
      <c r="U1299" s="61"/>
      <c r="V1299" s="61"/>
      <c r="W1299" s="61"/>
      <c r="X1299" s="61"/>
      <c r="Y1299" s="61"/>
      <c r="Z1299" s="61"/>
    </row>
    <row r="1300" ht="15.75" customHeight="1">
      <c r="A1300" s="61"/>
      <c r="B1300" s="61"/>
      <c r="C1300" s="61"/>
      <c r="D1300" s="61"/>
      <c r="E1300" s="61"/>
      <c r="F1300" s="61"/>
      <c r="G1300" s="61" t="str">
        <f>IFERROR(__xludf.DUMMYFUNCTION("""COMPUTED_VALUE"""),"")</f>
        <v/>
      </c>
      <c r="H1300" s="63"/>
      <c r="I1300" s="61"/>
      <c r="J1300" s="61"/>
      <c r="K1300" s="61"/>
      <c r="L1300" s="61"/>
      <c r="M1300" s="61"/>
      <c r="N1300" s="61"/>
      <c r="O1300" s="61"/>
      <c r="P1300" s="61"/>
      <c r="Q1300" s="61"/>
      <c r="R1300" s="61"/>
      <c r="S1300" s="61"/>
      <c r="T1300" s="61"/>
      <c r="U1300" s="61"/>
      <c r="V1300" s="61"/>
      <c r="W1300" s="61"/>
      <c r="X1300" s="61"/>
      <c r="Y1300" s="61"/>
      <c r="Z1300" s="61"/>
    </row>
    <row r="1301" ht="15.75" customHeight="1">
      <c r="A1301" s="61"/>
      <c r="B1301" s="61"/>
      <c r="C1301" s="61"/>
      <c r="D1301" s="61"/>
      <c r="E1301" s="61"/>
      <c r="F1301" s="61"/>
      <c r="G1301" s="61" t="str">
        <f>IFERROR(__xludf.DUMMYFUNCTION("""COMPUTED_VALUE"""),"")</f>
        <v/>
      </c>
      <c r="H1301" s="63"/>
      <c r="I1301" s="61"/>
      <c r="J1301" s="61"/>
      <c r="K1301" s="61"/>
      <c r="L1301" s="61"/>
      <c r="M1301" s="61"/>
      <c r="N1301" s="61"/>
      <c r="O1301" s="61"/>
      <c r="P1301" s="61"/>
      <c r="Q1301" s="61"/>
      <c r="R1301" s="61"/>
      <c r="S1301" s="61"/>
      <c r="T1301" s="61"/>
      <c r="U1301" s="61"/>
      <c r="V1301" s="61"/>
      <c r="W1301" s="61"/>
      <c r="X1301" s="61"/>
      <c r="Y1301" s="61"/>
      <c r="Z1301" s="61"/>
    </row>
    <row r="1302" ht="15.75" customHeight="1">
      <c r="A1302" s="61"/>
      <c r="B1302" s="61"/>
      <c r="C1302" s="61"/>
      <c r="D1302" s="61"/>
      <c r="E1302" s="61"/>
      <c r="F1302" s="61"/>
      <c r="G1302" s="61" t="str">
        <f>IFERROR(__xludf.DUMMYFUNCTION("""COMPUTED_VALUE"""),"")</f>
        <v/>
      </c>
      <c r="H1302" s="63"/>
      <c r="I1302" s="61"/>
      <c r="J1302" s="61"/>
      <c r="K1302" s="61"/>
      <c r="L1302" s="61"/>
      <c r="M1302" s="61"/>
      <c r="N1302" s="61"/>
      <c r="O1302" s="61"/>
      <c r="P1302" s="61"/>
      <c r="Q1302" s="61"/>
      <c r="R1302" s="61"/>
      <c r="S1302" s="61"/>
      <c r="T1302" s="61"/>
      <c r="U1302" s="61"/>
      <c r="V1302" s="61"/>
      <c r="W1302" s="61"/>
      <c r="X1302" s="61"/>
      <c r="Y1302" s="61"/>
      <c r="Z1302" s="61"/>
    </row>
    <row r="1303" ht="15.75" customHeight="1">
      <c r="A1303" s="61"/>
      <c r="B1303" s="61"/>
      <c r="C1303" s="61"/>
      <c r="D1303" s="61"/>
      <c r="E1303" s="61"/>
      <c r="F1303" s="61"/>
      <c r="G1303" s="61" t="str">
        <f>IFERROR(__xludf.DUMMYFUNCTION("""COMPUTED_VALUE"""),"")</f>
        <v/>
      </c>
      <c r="H1303" s="63"/>
      <c r="I1303" s="61"/>
      <c r="J1303" s="61"/>
      <c r="K1303" s="61"/>
      <c r="L1303" s="61"/>
      <c r="M1303" s="61"/>
      <c r="N1303" s="61"/>
      <c r="O1303" s="61"/>
      <c r="P1303" s="61"/>
      <c r="Q1303" s="61"/>
      <c r="R1303" s="61"/>
      <c r="S1303" s="61"/>
      <c r="T1303" s="61"/>
      <c r="U1303" s="61"/>
      <c r="V1303" s="61"/>
      <c r="W1303" s="61"/>
      <c r="X1303" s="61"/>
      <c r="Y1303" s="61"/>
      <c r="Z1303" s="61"/>
    </row>
    <row r="1304" ht="15.75" customHeight="1">
      <c r="A1304" s="61"/>
      <c r="B1304" s="61"/>
      <c r="C1304" s="61"/>
      <c r="D1304" s="61"/>
      <c r="E1304" s="61"/>
      <c r="F1304" s="61"/>
      <c r="G1304" s="61" t="str">
        <f>IFERROR(__xludf.DUMMYFUNCTION("""COMPUTED_VALUE"""),"")</f>
        <v/>
      </c>
      <c r="H1304" s="63"/>
      <c r="I1304" s="61"/>
      <c r="J1304" s="61"/>
      <c r="K1304" s="61"/>
      <c r="L1304" s="61"/>
      <c r="M1304" s="61"/>
      <c r="N1304" s="61"/>
      <c r="O1304" s="61"/>
      <c r="P1304" s="61"/>
      <c r="Q1304" s="61"/>
      <c r="R1304" s="61"/>
      <c r="S1304" s="61"/>
      <c r="T1304" s="61"/>
      <c r="U1304" s="61"/>
      <c r="V1304" s="61"/>
      <c r="W1304" s="61"/>
      <c r="X1304" s="61"/>
      <c r="Y1304" s="61"/>
      <c r="Z1304" s="61"/>
    </row>
    <row r="1305" ht="15.75" customHeight="1">
      <c r="A1305" s="61"/>
      <c r="B1305" s="61"/>
      <c r="C1305" s="61"/>
      <c r="D1305" s="61"/>
      <c r="E1305" s="61"/>
      <c r="F1305" s="61"/>
      <c r="G1305" s="61" t="str">
        <f>IFERROR(__xludf.DUMMYFUNCTION("""COMPUTED_VALUE"""),"")</f>
        <v/>
      </c>
      <c r="H1305" s="63"/>
      <c r="I1305" s="61"/>
      <c r="J1305" s="61"/>
      <c r="K1305" s="61"/>
      <c r="L1305" s="61"/>
      <c r="M1305" s="61"/>
      <c r="N1305" s="61"/>
      <c r="O1305" s="61"/>
      <c r="P1305" s="61"/>
      <c r="Q1305" s="61"/>
      <c r="R1305" s="61"/>
      <c r="S1305" s="61"/>
      <c r="T1305" s="61"/>
      <c r="U1305" s="61"/>
      <c r="V1305" s="61"/>
      <c r="W1305" s="61"/>
      <c r="X1305" s="61"/>
      <c r="Y1305" s="61"/>
      <c r="Z1305" s="61"/>
    </row>
    <row r="1306" ht="15.75" customHeight="1">
      <c r="A1306" s="61"/>
      <c r="B1306" s="61"/>
      <c r="C1306" s="61"/>
      <c r="D1306" s="61"/>
      <c r="E1306" s="61"/>
      <c r="F1306" s="61"/>
      <c r="G1306" s="61" t="str">
        <f>IFERROR(__xludf.DUMMYFUNCTION("""COMPUTED_VALUE"""),"")</f>
        <v/>
      </c>
      <c r="H1306" s="63"/>
      <c r="I1306" s="61"/>
      <c r="J1306" s="61"/>
      <c r="K1306" s="61"/>
      <c r="L1306" s="61"/>
      <c r="M1306" s="61"/>
      <c r="N1306" s="61"/>
      <c r="O1306" s="61"/>
      <c r="P1306" s="61"/>
      <c r="Q1306" s="61"/>
      <c r="R1306" s="61"/>
      <c r="S1306" s="61"/>
      <c r="T1306" s="61"/>
      <c r="U1306" s="61"/>
      <c r="V1306" s="61"/>
      <c r="W1306" s="61"/>
      <c r="X1306" s="61"/>
      <c r="Y1306" s="61"/>
      <c r="Z1306" s="61"/>
    </row>
    <row r="1307" ht="15.75" customHeight="1">
      <c r="A1307" s="61"/>
      <c r="B1307" s="61"/>
      <c r="C1307" s="61"/>
      <c r="D1307" s="61"/>
      <c r="E1307" s="61"/>
      <c r="F1307" s="61"/>
      <c r="G1307" s="61" t="str">
        <f>IFERROR(__xludf.DUMMYFUNCTION("""COMPUTED_VALUE"""),"")</f>
        <v/>
      </c>
      <c r="H1307" s="63"/>
      <c r="I1307" s="61"/>
      <c r="J1307" s="61"/>
      <c r="K1307" s="61"/>
      <c r="L1307" s="61"/>
      <c r="M1307" s="61"/>
      <c r="N1307" s="61"/>
      <c r="O1307" s="61"/>
      <c r="P1307" s="61"/>
      <c r="Q1307" s="61"/>
      <c r="R1307" s="61"/>
      <c r="S1307" s="61"/>
      <c r="T1307" s="61"/>
      <c r="U1307" s="61"/>
      <c r="V1307" s="61"/>
      <c r="W1307" s="61"/>
      <c r="X1307" s="61"/>
      <c r="Y1307" s="61"/>
      <c r="Z1307" s="61"/>
    </row>
    <row r="1308" ht="15.75" customHeight="1">
      <c r="A1308" s="61"/>
      <c r="B1308" s="61"/>
      <c r="C1308" s="61"/>
      <c r="D1308" s="61"/>
      <c r="E1308" s="61"/>
      <c r="F1308" s="61"/>
      <c r="G1308" s="61" t="str">
        <f>IFERROR(__xludf.DUMMYFUNCTION("""COMPUTED_VALUE"""),"")</f>
        <v/>
      </c>
      <c r="H1308" s="63"/>
      <c r="I1308" s="61"/>
      <c r="J1308" s="61"/>
      <c r="K1308" s="61"/>
      <c r="L1308" s="61"/>
      <c r="M1308" s="61"/>
      <c r="N1308" s="61"/>
      <c r="O1308" s="61"/>
      <c r="P1308" s="61"/>
      <c r="Q1308" s="61"/>
      <c r="R1308" s="61"/>
      <c r="S1308" s="61"/>
      <c r="T1308" s="61"/>
      <c r="U1308" s="61"/>
      <c r="V1308" s="61"/>
      <c r="W1308" s="61"/>
      <c r="X1308" s="61"/>
      <c r="Y1308" s="61"/>
      <c r="Z1308" s="61"/>
    </row>
    <row r="1309" ht="15.75" customHeight="1">
      <c r="A1309" s="61"/>
      <c r="B1309" s="61"/>
      <c r="C1309" s="61"/>
      <c r="D1309" s="61"/>
      <c r="E1309" s="61"/>
      <c r="F1309" s="61"/>
      <c r="G1309" s="61" t="str">
        <f>IFERROR(__xludf.DUMMYFUNCTION("""COMPUTED_VALUE"""),"")</f>
        <v/>
      </c>
      <c r="H1309" s="63"/>
      <c r="I1309" s="61"/>
      <c r="J1309" s="61"/>
      <c r="K1309" s="61"/>
      <c r="L1309" s="61"/>
      <c r="M1309" s="61"/>
      <c r="N1309" s="61"/>
      <c r="O1309" s="61"/>
      <c r="P1309" s="61"/>
      <c r="Q1309" s="61"/>
      <c r="R1309" s="61"/>
      <c r="S1309" s="61"/>
      <c r="T1309" s="61"/>
      <c r="U1309" s="61"/>
      <c r="V1309" s="61"/>
      <c r="W1309" s="61"/>
      <c r="X1309" s="61"/>
      <c r="Y1309" s="61"/>
      <c r="Z1309" s="61"/>
    </row>
    <row r="1310" ht="15.75" customHeight="1">
      <c r="A1310" s="61"/>
      <c r="B1310" s="61"/>
      <c r="C1310" s="61"/>
      <c r="D1310" s="61"/>
      <c r="E1310" s="61"/>
      <c r="F1310" s="61"/>
      <c r="G1310" s="61" t="str">
        <f>IFERROR(__xludf.DUMMYFUNCTION("""COMPUTED_VALUE"""),"")</f>
        <v/>
      </c>
      <c r="H1310" s="63"/>
      <c r="I1310" s="61"/>
      <c r="J1310" s="61"/>
      <c r="K1310" s="61"/>
      <c r="L1310" s="61"/>
      <c r="M1310" s="61"/>
      <c r="N1310" s="61"/>
      <c r="O1310" s="61"/>
      <c r="P1310" s="61"/>
      <c r="Q1310" s="61"/>
      <c r="R1310" s="61"/>
      <c r="S1310" s="61"/>
      <c r="T1310" s="61"/>
      <c r="U1310" s="61"/>
      <c r="V1310" s="61"/>
      <c r="W1310" s="61"/>
      <c r="X1310" s="61"/>
      <c r="Y1310" s="61"/>
      <c r="Z1310" s="61"/>
    </row>
    <row r="1311" ht="15.75" customHeight="1">
      <c r="A1311" s="61"/>
      <c r="B1311" s="61"/>
      <c r="C1311" s="61"/>
      <c r="D1311" s="61"/>
      <c r="E1311" s="61"/>
      <c r="F1311" s="61"/>
      <c r="G1311" s="61" t="str">
        <f>IFERROR(__xludf.DUMMYFUNCTION("""COMPUTED_VALUE"""),"")</f>
        <v/>
      </c>
      <c r="H1311" s="63"/>
      <c r="I1311" s="61"/>
      <c r="J1311" s="61"/>
      <c r="K1311" s="61"/>
      <c r="L1311" s="61"/>
      <c r="M1311" s="61"/>
      <c r="N1311" s="61"/>
      <c r="O1311" s="61"/>
      <c r="P1311" s="61"/>
      <c r="Q1311" s="61"/>
      <c r="R1311" s="61"/>
      <c r="S1311" s="61"/>
      <c r="T1311" s="61"/>
      <c r="U1311" s="61"/>
      <c r="V1311" s="61"/>
      <c r="W1311" s="61"/>
      <c r="X1311" s="61"/>
      <c r="Y1311" s="61"/>
      <c r="Z1311" s="61"/>
    </row>
    <row r="1312" ht="15.75" customHeight="1">
      <c r="A1312" s="61"/>
      <c r="B1312" s="61"/>
      <c r="C1312" s="61"/>
      <c r="D1312" s="61"/>
      <c r="E1312" s="61"/>
      <c r="F1312" s="61"/>
      <c r="G1312" s="61" t="str">
        <f>IFERROR(__xludf.DUMMYFUNCTION("""COMPUTED_VALUE"""),"")</f>
        <v/>
      </c>
      <c r="H1312" s="63"/>
      <c r="I1312" s="61"/>
      <c r="J1312" s="61"/>
      <c r="K1312" s="61"/>
      <c r="L1312" s="61"/>
      <c r="M1312" s="61"/>
      <c r="N1312" s="61"/>
      <c r="O1312" s="61"/>
      <c r="P1312" s="61"/>
      <c r="Q1312" s="61"/>
      <c r="R1312" s="61"/>
      <c r="S1312" s="61"/>
      <c r="T1312" s="61"/>
      <c r="U1312" s="61"/>
      <c r="V1312" s="61"/>
      <c r="W1312" s="61"/>
      <c r="X1312" s="61"/>
      <c r="Y1312" s="61"/>
      <c r="Z1312" s="61"/>
    </row>
    <row r="1313" ht="15.75" customHeight="1">
      <c r="A1313" s="61"/>
      <c r="B1313" s="61"/>
      <c r="C1313" s="61"/>
      <c r="D1313" s="61"/>
      <c r="E1313" s="61"/>
      <c r="F1313" s="61"/>
      <c r="G1313" s="61" t="str">
        <f>IFERROR(__xludf.DUMMYFUNCTION("""COMPUTED_VALUE"""),"")</f>
        <v/>
      </c>
      <c r="H1313" s="63"/>
      <c r="I1313" s="61"/>
      <c r="J1313" s="61"/>
      <c r="K1313" s="61"/>
      <c r="L1313" s="61"/>
      <c r="M1313" s="61"/>
      <c r="N1313" s="61"/>
      <c r="O1313" s="61"/>
      <c r="P1313" s="61"/>
      <c r="Q1313" s="61"/>
      <c r="R1313" s="61"/>
      <c r="S1313" s="61"/>
      <c r="T1313" s="61"/>
      <c r="U1313" s="61"/>
      <c r="V1313" s="61"/>
      <c r="W1313" s="61"/>
      <c r="X1313" s="61"/>
      <c r="Y1313" s="61"/>
      <c r="Z1313" s="61"/>
    </row>
    <row r="1314" ht="15.75" customHeight="1">
      <c r="A1314" s="61"/>
      <c r="B1314" s="61"/>
      <c r="C1314" s="61"/>
      <c r="D1314" s="61"/>
      <c r="E1314" s="61"/>
      <c r="F1314" s="61"/>
      <c r="G1314" s="61" t="str">
        <f>IFERROR(__xludf.DUMMYFUNCTION("""COMPUTED_VALUE"""),"")</f>
        <v/>
      </c>
      <c r="H1314" s="63"/>
      <c r="I1314" s="61"/>
      <c r="J1314" s="61"/>
      <c r="K1314" s="61"/>
      <c r="L1314" s="61"/>
      <c r="M1314" s="61"/>
      <c r="N1314" s="61"/>
      <c r="O1314" s="61"/>
      <c r="P1314" s="61"/>
      <c r="Q1314" s="61"/>
      <c r="R1314" s="61"/>
      <c r="S1314" s="61"/>
      <c r="T1314" s="61"/>
      <c r="U1314" s="61"/>
      <c r="V1314" s="61"/>
      <c r="W1314" s="61"/>
      <c r="X1314" s="61"/>
      <c r="Y1314" s="61"/>
      <c r="Z1314" s="61"/>
    </row>
    <row r="1315" ht="15.75" customHeight="1">
      <c r="A1315" s="61"/>
      <c r="B1315" s="61"/>
      <c r="C1315" s="61"/>
      <c r="D1315" s="61"/>
      <c r="E1315" s="61"/>
      <c r="F1315" s="61"/>
      <c r="G1315" s="61" t="str">
        <f>IFERROR(__xludf.DUMMYFUNCTION("""COMPUTED_VALUE"""),"")</f>
        <v/>
      </c>
      <c r="H1315" s="63"/>
      <c r="I1315" s="61"/>
      <c r="J1315" s="61"/>
      <c r="K1315" s="61"/>
      <c r="L1315" s="61"/>
      <c r="M1315" s="61"/>
      <c r="N1315" s="61"/>
      <c r="O1315" s="61"/>
      <c r="P1315" s="61"/>
      <c r="Q1315" s="61"/>
      <c r="R1315" s="61"/>
      <c r="S1315" s="61"/>
      <c r="T1315" s="61"/>
      <c r="U1315" s="61"/>
      <c r="V1315" s="61"/>
      <c r="W1315" s="61"/>
      <c r="X1315" s="61"/>
      <c r="Y1315" s="61"/>
      <c r="Z1315" s="61"/>
    </row>
    <row r="1316" ht="15.75" customHeight="1">
      <c r="A1316" s="61"/>
      <c r="B1316" s="61"/>
      <c r="C1316" s="61"/>
      <c r="D1316" s="61"/>
      <c r="E1316" s="61"/>
      <c r="F1316" s="61"/>
      <c r="G1316" s="61" t="str">
        <f>IFERROR(__xludf.DUMMYFUNCTION("""COMPUTED_VALUE"""),"")</f>
        <v/>
      </c>
      <c r="H1316" s="63"/>
      <c r="I1316" s="61"/>
      <c r="J1316" s="61"/>
      <c r="K1316" s="61"/>
      <c r="L1316" s="61"/>
      <c r="M1316" s="61"/>
      <c r="N1316" s="61"/>
      <c r="O1316" s="61"/>
      <c r="P1316" s="61"/>
      <c r="Q1316" s="61"/>
      <c r="R1316" s="61"/>
      <c r="S1316" s="61"/>
      <c r="T1316" s="61"/>
      <c r="U1316" s="61"/>
      <c r="V1316" s="61"/>
      <c r="W1316" s="61"/>
      <c r="X1316" s="61"/>
      <c r="Y1316" s="61"/>
      <c r="Z1316" s="61"/>
    </row>
    <row r="1317" ht="15.75" customHeight="1">
      <c r="A1317" s="61"/>
      <c r="B1317" s="61"/>
      <c r="C1317" s="61"/>
      <c r="D1317" s="61"/>
      <c r="E1317" s="61"/>
      <c r="F1317" s="61"/>
      <c r="G1317" s="61" t="str">
        <f>IFERROR(__xludf.DUMMYFUNCTION("""COMPUTED_VALUE"""),"")</f>
        <v/>
      </c>
      <c r="H1317" s="63"/>
      <c r="I1317" s="61"/>
      <c r="J1317" s="61"/>
      <c r="K1317" s="61"/>
      <c r="L1317" s="61"/>
      <c r="M1317" s="61"/>
      <c r="N1317" s="61"/>
      <c r="O1317" s="61"/>
      <c r="P1317" s="61"/>
      <c r="Q1317" s="61"/>
      <c r="R1317" s="61"/>
      <c r="S1317" s="61"/>
      <c r="T1317" s="61"/>
      <c r="U1317" s="61"/>
      <c r="V1317" s="61"/>
      <c r="W1317" s="61"/>
      <c r="X1317" s="61"/>
      <c r="Y1317" s="61"/>
      <c r="Z1317" s="61"/>
    </row>
    <row r="1318" ht="15.75" customHeight="1">
      <c r="A1318" s="61"/>
      <c r="B1318" s="61"/>
      <c r="C1318" s="61"/>
      <c r="D1318" s="61"/>
      <c r="E1318" s="61"/>
      <c r="F1318" s="61"/>
      <c r="G1318" s="61" t="str">
        <f>IFERROR(__xludf.DUMMYFUNCTION("""COMPUTED_VALUE"""),"")</f>
        <v/>
      </c>
      <c r="H1318" s="63"/>
      <c r="I1318" s="61"/>
      <c r="J1318" s="61"/>
      <c r="K1318" s="61"/>
      <c r="L1318" s="61"/>
      <c r="M1318" s="61"/>
      <c r="N1318" s="61"/>
      <c r="O1318" s="61"/>
      <c r="P1318" s="61"/>
      <c r="Q1318" s="61"/>
      <c r="R1318" s="61"/>
      <c r="S1318" s="61"/>
      <c r="T1318" s="61"/>
      <c r="U1318" s="61"/>
      <c r="V1318" s="61"/>
      <c r="W1318" s="61"/>
      <c r="X1318" s="61"/>
      <c r="Y1318" s="61"/>
      <c r="Z1318" s="61"/>
    </row>
    <row r="1319" ht="15.75" customHeight="1">
      <c r="A1319" s="61"/>
      <c r="B1319" s="61"/>
      <c r="C1319" s="61"/>
      <c r="D1319" s="61"/>
      <c r="E1319" s="61"/>
      <c r="F1319" s="61"/>
      <c r="G1319" s="61" t="str">
        <f>IFERROR(__xludf.DUMMYFUNCTION("""COMPUTED_VALUE"""),"")</f>
        <v/>
      </c>
      <c r="H1319" s="63"/>
      <c r="I1319" s="61"/>
      <c r="J1319" s="61"/>
      <c r="K1319" s="61"/>
      <c r="L1319" s="61"/>
      <c r="M1319" s="61"/>
      <c r="N1319" s="61"/>
      <c r="O1319" s="61"/>
      <c r="P1319" s="61"/>
      <c r="Q1319" s="61"/>
      <c r="R1319" s="61"/>
      <c r="S1319" s="61"/>
      <c r="T1319" s="61"/>
      <c r="U1319" s="61"/>
      <c r="V1319" s="61"/>
      <c r="W1319" s="61"/>
      <c r="X1319" s="61"/>
      <c r="Y1319" s="61"/>
      <c r="Z1319" s="61"/>
    </row>
    <row r="1320" ht="15.75" customHeight="1">
      <c r="A1320" s="61"/>
      <c r="B1320" s="61"/>
      <c r="C1320" s="61"/>
      <c r="D1320" s="61"/>
      <c r="E1320" s="61"/>
      <c r="F1320" s="61"/>
      <c r="G1320" s="61" t="str">
        <f>IFERROR(__xludf.DUMMYFUNCTION("""COMPUTED_VALUE"""),"")</f>
        <v/>
      </c>
      <c r="H1320" s="63"/>
      <c r="I1320" s="61"/>
      <c r="J1320" s="61"/>
      <c r="K1320" s="61"/>
      <c r="L1320" s="61"/>
      <c r="M1320" s="61"/>
      <c r="N1320" s="61"/>
      <c r="O1320" s="61"/>
      <c r="P1320" s="61"/>
      <c r="Q1320" s="61"/>
      <c r="R1320" s="61"/>
      <c r="S1320" s="61"/>
      <c r="T1320" s="61"/>
      <c r="U1320" s="61"/>
      <c r="V1320" s="61"/>
      <c r="W1320" s="61"/>
      <c r="X1320" s="61"/>
      <c r="Y1320" s="61"/>
      <c r="Z1320" s="61"/>
    </row>
    <row r="1321" ht="15.75" customHeight="1">
      <c r="A1321" s="61"/>
      <c r="B1321" s="61"/>
      <c r="C1321" s="61"/>
      <c r="D1321" s="61"/>
      <c r="E1321" s="61"/>
      <c r="F1321" s="61"/>
      <c r="G1321" s="61" t="str">
        <f>IFERROR(__xludf.DUMMYFUNCTION("""COMPUTED_VALUE"""),"")</f>
        <v/>
      </c>
      <c r="H1321" s="63"/>
      <c r="I1321" s="61"/>
      <c r="J1321" s="61"/>
      <c r="K1321" s="61"/>
      <c r="L1321" s="61"/>
      <c r="M1321" s="61"/>
      <c r="N1321" s="61"/>
      <c r="O1321" s="61"/>
      <c r="P1321" s="61"/>
      <c r="Q1321" s="61"/>
      <c r="R1321" s="61"/>
      <c r="S1321" s="61"/>
      <c r="T1321" s="61"/>
      <c r="U1321" s="61"/>
      <c r="V1321" s="61"/>
      <c r="W1321" s="61"/>
      <c r="X1321" s="61"/>
      <c r="Y1321" s="61"/>
      <c r="Z1321" s="61"/>
    </row>
    <row r="1322" ht="15.75" customHeight="1">
      <c r="A1322" s="61"/>
      <c r="B1322" s="61"/>
      <c r="C1322" s="61"/>
      <c r="D1322" s="61"/>
      <c r="E1322" s="61"/>
      <c r="F1322" s="61"/>
      <c r="G1322" s="61" t="str">
        <f>IFERROR(__xludf.DUMMYFUNCTION("""COMPUTED_VALUE"""),"")</f>
        <v/>
      </c>
      <c r="H1322" s="63"/>
      <c r="I1322" s="61"/>
      <c r="J1322" s="61"/>
      <c r="K1322" s="61"/>
      <c r="L1322" s="61"/>
      <c r="M1322" s="61"/>
      <c r="N1322" s="61"/>
      <c r="O1322" s="61"/>
      <c r="P1322" s="61"/>
      <c r="Q1322" s="61"/>
      <c r="R1322" s="61"/>
      <c r="S1322" s="61"/>
      <c r="T1322" s="61"/>
      <c r="U1322" s="61"/>
      <c r="V1322" s="61"/>
      <c r="W1322" s="61"/>
      <c r="X1322" s="61"/>
      <c r="Y1322" s="61"/>
      <c r="Z1322" s="61"/>
    </row>
    <row r="1323" ht="15.75" customHeight="1">
      <c r="A1323" s="61"/>
      <c r="B1323" s="61"/>
      <c r="C1323" s="61"/>
      <c r="D1323" s="61"/>
      <c r="E1323" s="61"/>
      <c r="F1323" s="61"/>
      <c r="G1323" s="61" t="str">
        <f>IFERROR(__xludf.DUMMYFUNCTION("""COMPUTED_VALUE"""),"")</f>
        <v/>
      </c>
      <c r="H1323" s="63"/>
      <c r="I1323" s="61"/>
      <c r="J1323" s="61"/>
      <c r="K1323" s="61"/>
      <c r="L1323" s="61"/>
      <c r="M1323" s="61"/>
      <c r="N1323" s="61"/>
      <c r="O1323" s="61"/>
      <c r="P1323" s="61"/>
      <c r="Q1323" s="61"/>
      <c r="R1323" s="61"/>
      <c r="S1323" s="61"/>
      <c r="T1323" s="61"/>
      <c r="U1323" s="61"/>
      <c r="V1323" s="61"/>
      <c r="W1323" s="61"/>
      <c r="X1323" s="61"/>
      <c r="Y1323" s="61"/>
      <c r="Z1323" s="61"/>
    </row>
    <row r="1324" ht="15.75" customHeight="1">
      <c r="A1324" s="61"/>
      <c r="B1324" s="61"/>
      <c r="C1324" s="61"/>
      <c r="D1324" s="61"/>
      <c r="E1324" s="61"/>
      <c r="F1324" s="61"/>
      <c r="G1324" s="61" t="str">
        <f>IFERROR(__xludf.DUMMYFUNCTION("""COMPUTED_VALUE"""),"")</f>
        <v/>
      </c>
      <c r="H1324" s="63"/>
      <c r="I1324" s="61"/>
      <c r="J1324" s="61"/>
      <c r="K1324" s="61"/>
      <c r="L1324" s="61"/>
      <c r="M1324" s="61"/>
      <c r="N1324" s="61"/>
      <c r="O1324" s="61"/>
      <c r="P1324" s="61"/>
      <c r="Q1324" s="61"/>
      <c r="R1324" s="61"/>
      <c r="S1324" s="61"/>
      <c r="T1324" s="61"/>
      <c r="U1324" s="61"/>
      <c r="V1324" s="61"/>
      <c r="W1324" s="61"/>
      <c r="X1324" s="61"/>
      <c r="Y1324" s="61"/>
      <c r="Z1324" s="61"/>
    </row>
    <row r="1325" ht="15.75" customHeight="1">
      <c r="A1325" s="61"/>
      <c r="B1325" s="61"/>
      <c r="C1325" s="61"/>
      <c r="D1325" s="61"/>
      <c r="E1325" s="61"/>
      <c r="F1325" s="61"/>
      <c r="G1325" s="61" t="str">
        <f>IFERROR(__xludf.DUMMYFUNCTION("""COMPUTED_VALUE"""),"")</f>
        <v/>
      </c>
      <c r="H1325" s="63"/>
      <c r="I1325" s="61"/>
      <c r="J1325" s="61"/>
      <c r="K1325" s="61"/>
      <c r="L1325" s="61"/>
      <c r="M1325" s="61"/>
      <c r="N1325" s="61"/>
      <c r="O1325" s="61"/>
      <c r="P1325" s="61"/>
      <c r="Q1325" s="61"/>
      <c r="R1325" s="61"/>
      <c r="S1325" s="61"/>
      <c r="T1325" s="61"/>
      <c r="U1325" s="61"/>
      <c r="V1325" s="61"/>
      <c r="W1325" s="61"/>
      <c r="X1325" s="61"/>
      <c r="Y1325" s="61"/>
      <c r="Z1325" s="61"/>
    </row>
    <row r="1326" ht="15.75" customHeight="1">
      <c r="A1326" s="61"/>
      <c r="B1326" s="61"/>
      <c r="C1326" s="61"/>
      <c r="D1326" s="61"/>
      <c r="E1326" s="61"/>
      <c r="F1326" s="61"/>
      <c r="G1326" s="61" t="str">
        <f>IFERROR(__xludf.DUMMYFUNCTION("""COMPUTED_VALUE"""),"")</f>
        <v/>
      </c>
      <c r="H1326" s="63"/>
      <c r="I1326" s="61"/>
      <c r="J1326" s="61"/>
      <c r="K1326" s="61"/>
      <c r="L1326" s="61"/>
      <c r="M1326" s="61"/>
      <c r="N1326" s="61"/>
      <c r="O1326" s="61"/>
      <c r="P1326" s="61"/>
      <c r="Q1326" s="61"/>
      <c r="R1326" s="61"/>
      <c r="S1326" s="61"/>
      <c r="T1326" s="61"/>
      <c r="U1326" s="61"/>
      <c r="V1326" s="61"/>
      <c r="W1326" s="61"/>
      <c r="X1326" s="61"/>
      <c r="Y1326" s="61"/>
      <c r="Z1326" s="61"/>
    </row>
    <row r="1327" ht="15.75" customHeight="1">
      <c r="A1327" s="61"/>
      <c r="B1327" s="61"/>
      <c r="C1327" s="61"/>
      <c r="D1327" s="61"/>
      <c r="E1327" s="61"/>
      <c r="F1327" s="61"/>
      <c r="G1327" s="61" t="str">
        <f>IFERROR(__xludf.DUMMYFUNCTION("""COMPUTED_VALUE"""),"")</f>
        <v/>
      </c>
      <c r="H1327" s="63"/>
      <c r="I1327" s="61"/>
      <c r="J1327" s="61"/>
      <c r="K1327" s="61"/>
      <c r="L1327" s="61"/>
      <c r="M1327" s="61"/>
      <c r="N1327" s="61"/>
      <c r="O1327" s="61"/>
      <c r="P1327" s="61"/>
      <c r="Q1327" s="61"/>
      <c r="R1327" s="61"/>
      <c r="S1327" s="61"/>
      <c r="T1327" s="61"/>
      <c r="U1327" s="61"/>
      <c r="V1327" s="61"/>
      <c r="W1327" s="61"/>
      <c r="X1327" s="61"/>
      <c r="Y1327" s="61"/>
      <c r="Z1327" s="61"/>
    </row>
    <row r="1328" ht="15.75" customHeight="1">
      <c r="A1328" s="61"/>
      <c r="B1328" s="61"/>
      <c r="C1328" s="61"/>
      <c r="D1328" s="61"/>
      <c r="E1328" s="61"/>
      <c r="F1328" s="61"/>
      <c r="G1328" s="61" t="str">
        <f>IFERROR(__xludf.DUMMYFUNCTION("""COMPUTED_VALUE"""),"")</f>
        <v/>
      </c>
      <c r="H1328" s="63"/>
      <c r="I1328" s="61"/>
      <c r="J1328" s="61"/>
      <c r="K1328" s="61"/>
      <c r="L1328" s="61"/>
      <c r="M1328" s="61"/>
      <c r="N1328" s="61"/>
      <c r="O1328" s="61"/>
      <c r="P1328" s="61"/>
      <c r="Q1328" s="61"/>
      <c r="R1328" s="61"/>
      <c r="S1328" s="61"/>
      <c r="T1328" s="61"/>
      <c r="U1328" s="61"/>
      <c r="V1328" s="61"/>
      <c r="W1328" s="61"/>
      <c r="X1328" s="61"/>
      <c r="Y1328" s="61"/>
      <c r="Z1328" s="61"/>
    </row>
    <row r="1329" ht="15.75" customHeight="1">
      <c r="A1329" s="61"/>
      <c r="B1329" s="61"/>
      <c r="C1329" s="61"/>
      <c r="D1329" s="61"/>
      <c r="E1329" s="61"/>
      <c r="F1329" s="61"/>
      <c r="G1329" s="61" t="str">
        <f>IFERROR(__xludf.DUMMYFUNCTION("""COMPUTED_VALUE"""),"")</f>
        <v/>
      </c>
      <c r="H1329" s="63"/>
      <c r="I1329" s="61"/>
      <c r="J1329" s="61"/>
      <c r="K1329" s="61"/>
      <c r="L1329" s="61"/>
      <c r="M1329" s="61"/>
      <c r="N1329" s="61"/>
      <c r="O1329" s="61"/>
      <c r="P1329" s="61"/>
      <c r="Q1329" s="61"/>
      <c r="R1329" s="61"/>
      <c r="S1329" s="61"/>
      <c r="T1329" s="61"/>
      <c r="U1329" s="61"/>
      <c r="V1329" s="61"/>
      <c r="W1329" s="61"/>
      <c r="X1329" s="61"/>
      <c r="Y1329" s="61"/>
      <c r="Z1329" s="61"/>
    </row>
    <row r="1330" ht="15.75" customHeight="1">
      <c r="A1330" s="61"/>
      <c r="B1330" s="61"/>
      <c r="C1330" s="61"/>
      <c r="D1330" s="61"/>
      <c r="E1330" s="61"/>
      <c r="F1330" s="61"/>
      <c r="G1330" s="61" t="str">
        <f>IFERROR(__xludf.DUMMYFUNCTION("""COMPUTED_VALUE"""),"")</f>
        <v/>
      </c>
      <c r="H1330" s="63"/>
      <c r="I1330" s="61"/>
      <c r="J1330" s="61"/>
      <c r="K1330" s="61"/>
      <c r="L1330" s="61"/>
      <c r="M1330" s="61"/>
      <c r="N1330" s="61"/>
      <c r="O1330" s="61"/>
      <c r="P1330" s="61"/>
      <c r="Q1330" s="61"/>
      <c r="R1330" s="61"/>
      <c r="S1330" s="61"/>
      <c r="T1330" s="61"/>
      <c r="U1330" s="61"/>
      <c r="V1330" s="61"/>
      <c r="W1330" s="61"/>
      <c r="X1330" s="61"/>
      <c r="Y1330" s="61"/>
      <c r="Z1330" s="61"/>
    </row>
    <row r="1331" ht="15.75" customHeight="1">
      <c r="A1331" s="61"/>
      <c r="B1331" s="61"/>
      <c r="C1331" s="61"/>
      <c r="D1331" s="61"/>
      <c r="E1331" s="61"/>
      <c r="F1331" s="61"/>
      <c r="G1331" s="61" t="str">
        <f>IFERROR(__xludf.DUMMYFUNCTION("""COMPUTED_VALUE"""),"")</f>
        <v/>
      </c>
      <c r="H1331" s="63"/>
      <c r="I1331" s="61"/>
      <c r="J1331" s="61"/>
      <c r="K1331" s="61"/>
      <c r="L1331" s="61"/>
      <c r="M1331" s="61"/>
      <c r="N1331" s="61"/>
      <c r="O1331" s="61"/>
      <c r="P1331" s="61"/>
      <c r="Q1331" s="61"/>
      <c r="R1331" s="61"/>
      <c r="S1331" s="61"/>
      <c r="T1331" s="61"/>
      <c r="U1331" s="61"/>
      <c r="V1331" s="61"/>
      <c r="W1331" s="61"/>
      <c r="X1331" s="61"/>
      <c r="Y1331" s="61"/>
      <c r="Z1331" s="61"/>
    </row>
    <row r="1332" ht="15.75" customHeight="1">
      <c r="A1332" s="61"/>
      <c r="B1332" s="61"/>
      <c r="C1332" s="61"/>
      <c r="D1332" s="61"/>
      <c r="E1332" s="61"/>
      <c r="F1332" s="61"/>
      <c r="G1332" s="61" t="str">
        <f>IFERROR(__xludf.DUMMYFUNCTION("""COMPUTED_VALUE"""),"")</f>
        <v/>
      </c>
      <c r="H1332" s="63"/>
      <c r="I1332" s="61"/>
      <c r="J1332" s="61"/>
      <c r="K1332" s="61"/>
      <c r="L1332" s="61"/>
      <c r="M1332" s="61"/>
      <c r="N1332" s="61"/>
      <c r="O1332" s="61"/>
      <c r="P1332" s="61"/>
      <c r="Q1332" s="61"/>
      <c r="R1332" s="61"/>
      <c r="S1332" s="61"/>
      <c r="T1332" s="61"/>
      <c r="U1332" s="61"/>
      <c r="V1332" s="61"/>
      <c r="W1332" s="61"/>
      <c r="X1332" s="61"/>
      <c r="Y1332" s="61"/>
      <c r="Z1332" s="61"/>
    </row>
    <row r="1333" ht="15.75" customHeight="1">
      <c r="A1333" s="61"/>
      <c r="B1333" s="61"/>
      <c r="C1333" s="61"/>
      <c r="D1333" s="61"/>
      <c r="E1333" s="61"/>
      <c r="F1333" s="61"/>
      <c r="G1333" s="61" t="str">
        <f>IFERROR(__xludf.DUMMYFUNCTION("""COMPUTED_VALUE"""),"")</f>
        <v/>
      </c>
      <c r="H1333" s="63"/>
      <c r="I1333" s="61"/>
      <c r="J1333" s="61"/>
      <c r="K1333" s="61"/>
      <c r="L1333" s="61"/>
      <c r="M1333" s="61"/>
      <c r="N1333" s="61"/>
      <c r="O1333" s="61"/>
      <c r="P1333" s="61"/>
      <c r="Q1333" s="61"/>
      <c r="R1333" s="61"/>
      <c r="S1333" s="61"/>
      <c r="T1333" s="61"/>
      <c r="U1333" s="61"/>
      <c r="V1333" s="61"/>
      <c r="W1333" s="61"/>
      <c r="X1333" s="61"/>
      <c r="Y1333" s="61"/>
      <c r="Z1333" s="61"/>
    </row>
    <row r="1334" ht="15.75" customHeight="1">
      <c r="A1334" s="61"/>
      <c r="B1334" s="61"/>
      <c r="C1334" s="61"/>
      <c r="D1334" s="61"/>
      <c r="E1334" s="61"/>
      <c r="F1334" s="61"/>
      <c r="G1334" s="61" t="str">
        <f>IFERROR(__xludf.DUMMYFUNCTION("""COMPUTED_VALUE"""),"")</f>
        <v/>
      </c>
      <c r="H1334" s="63"/>
      <c r="I1334" s="61"/>
      <c r="J1334" s="61"/>
      <c r="K1334" s="61"/>
      <c r="L1334" s="61"/>
      <c r="M1334" s="61"/>
      <c r="N1334" s="61"/>
      <c r="O1334" s="61"/>
      <c r="P1334" s="61"/>
      <c r="Q1334" s="61"/>
      <c r="R1334" s="61"/>
      <c r="S1334" s="61"/>
      <c r="T1334" s="61"/>
      <c r="U1334" s="61"/>
      <c r="V1334" s="61"/>
      <c r="W1334" s="61"/>
      <c r="X1334" s="61"/>
      <c r="Y1334" s="61"/>
      <c r="Z1334" s="61"/>
    </row>
    <row r="1335" ht="15.75" customHeight="1">
      <c r="A1335" s="61"/>
      <c r="B1335" s="61"/>
      <c r="C1335" s="61"/>
      <c r="D1335" s="61"/>
      <c r="E1335" s="61"/>
      <c r="F1335" s="61"/>
      <c r="G1335" s="61" t="str">
        <f>IFERROR(__xludf.DUMMYFUNCTION("""COMPUTED_VALUE"""),"")</f>
        <v/>
      </c>
      <c r="H1335" s="63"/>
      <c r="I1335" s="61"/>
      <c r="J1335" s="61"/>
      <c r="K1335" s="61"/>
      <c r="L1335" s="61"/>
      <c r="M1335" s="61"/>
      <c r="N1335" s="61"/>
      <c r="O1335" s="61"/>
      <c r="P1335" s="61"/>
      <c r="Q1335" s="61"/>
      <c r="R1335" s="61"/>
      <c r="S1335" s="61"/>
      <c r="T1335" s="61"/>
      <c r="U1335" s="61"/>
      <c r="V1335" s="61"/>
      <c r="W1335" s="61"/>
      <c r="X1335" s="61"/>
      <c r="Y1335" s="61"/>
      <c r="Z1335" s="61"/>
    </row>
    <row r="1336" ht="15.75" customHeight="1">
      <c r="A1336" s="61"/>
      <c r="B1336" s="61"/>
      <c r="C1336" s="61"/>
      <c r="D1336" s="61"/>
      <c r="E1336" s="61"/>
      <c r="F1336" s="61"/>
      <c r="G1336" s="61" t="str">
        <f>IFERROR(__xludf.DUMMYFUNCTION("""COMPUTED_VALUE"""),"")</f>
        <v/>
      </c>
      <c r="H1336" s="63"/>
      <c r="I1336" s="61"/>
      <c r="J1336" s="61"/>
      <c r="K1336" s="61"/>
      <c r="L1336" s="61"/>
      <c r="M1336" s="61"/>
      <c r="N1336" s="61"/>
      <c r="O1336" s="61"/>
      <c r="P1336" s="61"/>
      <c r="Q1336" s="61"/>
      <c r="R1336" s="61"/>
      <c r="S1336" s="61"/>
      <c r="T1336" s="61"/>
      <c r="U1336" s="61"/>
      <c r="V1336" s="61"/>
      <c r="W1336" s="61"/>
      <c r="X1336" s="61"/>
      <c r="Y1336" s="61"/>
      <c r="Z1336" s="61"/>
    </row>
    <row r="1337" ht="15.75" customHeight="1">
      <c r="A1337" s="61"/>
      <c r="B1337" s="61"/>
      <c r="C1337" s="61"/>
      <c r="D1337" s="61"/>
      <c r="E1337" s="61"/>
      <c r="F1337" s="61"/>
      <c r="G1337" s="61" t="str">
        <f>IFERROR(__xludf.DUMMYFUNCTION("""COMPUTED_VALUE"""),"")</f>
        <v/>
      </c>
      <c r="H1337" s="63"/>
      <c r="I1337" s="61"/>
      <c r="J1337" s="61"/>
      <c r="K1337" s="61"/>
      <c r="L1337" s="61"/>
      <c r="M1337" s="61"/>
      <c r="N1337" s="61"/>
      <c r="O1337" s="61"/>
      <c r="P1337" s="61"/>
      <c r="Q1337" s="61"/>
      <c r="R1337" s="61"/>
      <c r="S1337" s="61"/>
      <c r="T1337" s="61"/>
      <c r="U1337" s="61"/>
      <c r="V1337" s="61"/>
      <c r="W1337" s="61"/>
      <c r="X1337" s="61"/>
      <c r="Y1337" s="61"/>
      <c r="Z1337" s="61"/>
    </row>
    <row r="1338" ht="15.75" customHeight="1">
      <c r="A1338" s="61"/>
      <c r="B1338" s="61"/>
      <c r="C1338" s="61"/>
      <c r="D1338" s="61"/>
      <c r="E1338" s="61"/>
      <c r="F1338" s="61"/>
      <c r="G1338" s="61" t="str">
        <f>IFERROR(__xludf.DUMMYFUNCTION("""COMPUTED_VALUE"""),"")</f>
        <v/>
      </c>
      <c r="H1338" s="63"/>
      <c r="I1338" s="61"/>
      <c r="J1338" s="61"/>
      <c r="K1338" s="61"/>
      <c r="L1338" s="61"/>
      <c r="M1338" s="61"/>
      <c r="N1338" s="61"/>
      <c r="O1338" s="61"/>
      <c r="P1338" s="61"/>
      <c r="Q1338" s="61"/>
      <c r="R1338" s="61"/>
      <c r="S1338" s="61"/>
      <c r="T1338" s="61"/>
      <c r="U1338" s="61"/>
      <c r="V1338" s="61"/>
      <c r="W1338" s="61"/>
      <c r="X1338" s="61"/>
      <c r="Y1338" s="61"/>
      <c r="Z1338" s="61"/>
    </row>
    <row r="1339" ht="15.75" customHeight="1">
      <c r="A1339" s="61"/>
      <c r="B1339" s="61"/>
      <c r="C1339" s="61"/>
      <c r="D1339" s="61"/>
      <c r="E1339" s="61"/>
      <c r="F1339" s="61"/>
      <c r="G1339" s="61" t="str">
        <f>IFERROR(__xludf.DUMMYFUNCTION("""COMPUTED_VALUE"""),"")</f>
        <v/>
      </c>
      <c r="H1339" s="63"/>
      <c r="I1339" s="61"/>
      <c r="J1339" s="61"/>
      <c r="K1339" s="61"/>
      <c r="L1339" s="61"/>
      <c r="M1339" s="61"/>
      <c r="N1339" s="61"/>
      <c r="O1339" s="61"/>
      <c r="P1339" s="61"/>
      <c r="Q1339" s="61"/>
      <c r="R1339" s="61"/>
      <c r="S1339" s="61"/>
      <c r="T1339" s="61"/>
      <c r="U1339" s="61"/>
      <c r="V1339" s="61"/>
      <c r="W1339" s="61"/>
      <c r="X1339" s="61"/>
      <c r="Y1339" s="61"/>
      <c r="Z1339" s="61"/>
    </row>
    <row r="1340" ht="15.75" customHeight="1">
      <c r="A1340" s="61"/>
      <c r="B1340" s="61"/>
      <c r="C1340" s="61"/>
      <c r="D1340" s="61"/>
      <c r="E1340" s="61"/>
      <c r="F1340" s="61"/>
      <c r="G1340" s="61" t="str">
        <f>IFERROR(__xludf.DUMMYFUNCTION("""COMPUTED_VALUE"""),"")</f>
        <v/>
      </c>
      <c r="H1340" s="63"/>
      <c r="I1340" s="61"/>
      <c r="J1340" s="61"/>
      <c r="K1340" s="61"/>
      <c r="L1340" s="61"/>
      <c r="M1340" s="61"/>
      <c r="N1340" s="61"/>
      <c r="O1340" s="61"/>
      <c r="P1340" s="61"/>
      <c r="Q1340" s="61"/>
      <c r="R1340" s="61"/>
      <c r="S1340" s="61"/>
      <c r="T1340" s="61"/>
      <c r="U1340" s="61"/>
      <c r="V1340" s="61"/>
      <c r="W1340" s="61"/>
      <c r="X1340" s="61"/>
      <c r="Y1340" s="61"/>
      <c r="Z1340" s="61"/>
    </row>
    <row r="1341" ht="15.75" customHeight="1">
      <c r="A1341" s="61"/>
      <c r="B1341" s="61"/>
      <c r="C1341" s="61"/>
      <c r="D1341" s="61"/>
      <c r="E1341" s="61"/>
      <c r="F1341" s="61"/>
      <c r="G1341" s="61" t="str">
        <f>IFERROR(__xludf.DUMMYFUNCTION("""COMPUTED_VALUE"""),"")</f>
        <v/>
      </c>
      <c r="H1341" s="63"/>
      <c r="I1341" s="61"/>
      <c r="J1341" s="61"/>
      <c r="K1341" s="61"/>
      <c r="L1341" s="61"/>
      <c r="M1341" s="61"/>
      <c r="N1341" s="61"/>
      <c r="O1341" s="61"/>
      <c r="P1341" s="61"/>
      <c r="Q1341" s="61"/>
      <c r="R1341" s="61"/>
      <c r="S1341" s="61"/>
      <c r="T1341" s="61"/>
      <c r="U1341" s="61"/>
      <c r="V1341" s="61"/>
      <c r="W1341" s="61"/>
      <c r="X1341" s="61"/>
      <c r="Y1341" s="61"/>
      <c r="Z1341" s="61"/>
    </row>
    <row r="1342" ht="15.75" customHeight="1">
      <c r="A1342" s="61"/>
      <c r="B1342" s="61"/>
      <c r="C1342" s="61"/>
      <c r="D1342" s="61"/>
      <c r="E1342" s="61"/>
      <c r="F1342" s="61"/>
      <c r="G1342" s="61" t="str">
        <f>IFERROR(__xludf.DUMMYFUNCTION("""COMPUTED_VALUE"""),"")</f>
        <v/>
      </c>
      <c r="H1342" s="63"/>
      <c r="I1342" s="61"/>
      <c r="J1342" s="61"/>
      <c r="K1342" s="61"/>
      <c r="L1342" s="61"/>
      <c r="M1342" s="61"/>
      <c r="N1342" s="61"/>
      <c r="O1342" s="61"/>
      <c r="P1342" s="61"/>
      <c r="Q1342" s="61"/>
      <c r="R1342" s="61"/>
      <c r="S1342" s="61"/>
      <c r="T1342" s="61"/>
      <c r="U1342" s="61"/>
      <c r="V1342" s="61"/>
      <c r="W1342" s="61"/>
      <c r="X1342" s="61"/>
      <c r="Y1342" s="61"/>
      <c r="Z1342" s="61"/>
    </row>
    <row r="1343" ht="15.75" customHeight="1">
      <c r="A1343" s="61"/>
      <c r="B1343" s="61"/>
      <c r="C1343" s="61"/>
      <c r="D1343" s="61"/>
      <c r="E1343" s="61"/>
      <c r="F1343" s="61"/>
      <c r="G1343" s="61" t="str">
        <f>IFERROR(__xludf.DUMMYFUNCTION("""COMPUTED_VALUE"""),"")</f>
        <v/>
      </c>
      <c r="H1343" s="63"/>
      <c r="I1343" s="61"/>
      <c r="J1343" s="61"/>
      <c r="K1343" s="61"/>
      <c r="L1343" s="61"/>
      <c r="M1343" s="61"/>
      <c r="N1343" s="61"/>
      <c r="O1343" s="61"/>
      <c r="P1343" s="61"/>
      <c r="Q1343" s="61"/>
      <c r="R1343" s="61"/>
      <c r="S1343" s="61"/>
      <c r="T1343" s="61"/>
      <c r="U1343" s="61"/>
      <c r="V1343" s="61"/>
      <c r="W1343" s="61"/>
      <c r="X1343" s="61"/>
      <c r="Y1343" s="61"/>
      <c r="Z1343" s="61"/>
    </row>
    <row r="1344" ht="15.75" customHeight="1">
      <c r="A1344" s="61"/>
      <c r="B1344" s="61"/>
      <c r="C1344" s="61"/>
      <c r="D1344" s="61"/>
      <c r="E1344" s="61"/>
      <c r="F1344" s="61"/>
      <c r="G1344" s="61" t="str">
        <f>IFERROR(__xludf.DUMMYFUNCTION("""COMPUTED_VALUE"""),"")</f>
        <v/>
      </c>
      <c r="H1344" s="63"/>
      <c r="I1344" s="61"/>
      <c r="J1344" s="61"/>
      <c r="K1344" s="61"/>
      <c r="L1344" s="61"/>
      <c r="M1344" s="61"/>
      <c r="N1344" s="61"/>
      <c r="O1344" s="61"/>
      <c r="P1344" s="61"/>
      <c r="Q1344" s="61"/>
      <c r="R1344" s="61"/>
      <c r="S1344" s="61"/>
      <c r="T1344" s="61"/>
      <c r="U1344" s="61"/>
      <c r="V1344" s="61"/>
      <c r="W1344" s="61"/>
      <c r="X1344" s="61"/>
      <c r="Y1344" s="61"/>
      <c r="Z1344" s="61"/>
    </row>
    <row r="1345" ht="15.75" customHeight="1">
      <c r="A1345" s="61"/>
      <c r="B1345" s="61"/>
      <c r="C1345" s="61"/>
      <c r="D1345" s="61"/>
      <c r="E1345" s="61"/>
      <c r="F1345" s="61"/>
      <c r="G1345" s="61" t="str">
        <f>IFERROR(__xludf.DUMMYFUNCTION("""COMPUTED_VALUE"""),"")</f>
        <v/>
      </c>
      <c r="H1345" s="63"/>
      <c r="I1345" s="61"/>
      <c r="J1345" s="61"/>
      <c r="K1345" s="61"/>
      <c r="L1345" s="61"/>
      <c r="M1345" s="61"/>
      <c r="N1345" s="61"/>
      <c r="O1345" s="61"/>
      <c r="P1345" s="61"/>
      <c r="Q1345" s="61"/>
      <c r="R1345" s="61"/>
      <c r="S1345" s="61"/>
      <c r="T1345" s="61"/>
      <c r="U1345" s="61"/>
      <c r="V1345" s="61"/>
      <c r="W1345" s="61"/>
      <c r="X1345" s="61"/>
      <c r="Y1345" s="61"/>
      <c r="Z1345" s="61"/>
    </row>
    <row r="1346" ht="15.75" customHeight="1">
      <c r="A1346" s="61"/>
      <c r="B1346" s="61"/>
      <c r="C1346" s="61"/>
      <c r="D1346" s="61"/>
      <c r="E1346" s="61"/>
      <c r="F1346" s="61"/>
      <c r="G1346" s="61" t="str">
        <f>IFERROR(__xludf.DUMMYFUNCTION("""COMPUTED_VALUE"""),"")</f>
        <v/>
      </c>
      <c r="H1346" s="63"/>
      <c r="I1346" s="61"/>
      <c r="J1346" s="61"/>
      <c r="K1346" s="61"/>
      <c r="L1346" s="61"/>
      <c r="M1346" s="61"/>
      <c r="N1346" s="61"/>
      <c r="O1346" s="61"/>
      <c r="P1346" s="61"/>
      <c r="Q1346" s="61"/>
      <c r="R1346" s="61"/>
      <c r="S1346" s="61"/>
      <c r="T1346" s="61"/>
      <c r="U1346" s="61"/>
      <c r="V1346" s="61"/>
      <c r="W1346" s="61"/>
      <c r="X1346" s="61"/>
      <c r="Y1346" s="61"/>
      <c r="Z1346" s="61"/>
    </row>
    <row r="1347" ht="15.75" customHeight="1">
      <c r="A1347" s="61"/>
      <c r="B1347" s="61"/>
      <c r="C1347" s="61"/>
      <c r="D1347" s="61"/>
      <c r="E1347" s="61"/>
      <c r="F1347" s="61"/>
      <c r="G1347" s="61" t="str">
        <f>IFERROR(__xludf.DUMMYFUNCTION("""COMPUTED_VALUE"""),"")</f>
        <v/>
      </c>
      <c r="H1347" s="63"/>
      <c r="I1347" s="61"/>
      <c r="J1347" s="61"/>
      <c r="K1347" s="61"/>
      <c r="L1347" s="61"/>
      <c r="M1347" s="61"/>
      <c r="N1347" s="61"/>
      <c r="O1347" s="61"/>
      <c r="P1347" s="61"/>
      <c r="Q1347" s="61"/>
      <c r="R1347" s="61"/>
      <c r="S1347" s="61"/>
      <c r="T1347" s="61"/>
      <c r="U1347" s="61"/>
      <c r="V1347" s="61"/>
      <c r="W1347" s="61"/>
      <c r="X1347" s="61"/>
      <c r="Y1347" s="61"/>
      <c r="Z1347" s="61"/>
    </row>
    <row r="1348" ht="15.75" customHeight="1">
      <c r="A1348" s="61"/>
      <c r="B1348" s="61"/>
      <c r="C1348" s="61"/>
      <c r="D1348" s="61"/>
      <c r="E1348" s="61"/>
      <c r="F1348" s="61"/>
      <c r="G1348" s="61" t="str">
        <f>IFERROR(__xludf.DUMMYFUNCTION("""COMPUTED_VALUE"""),"")</f>
        <v/>
      </c>
      <c r="H1348" s="63"/>
      <c r="I1348" s="61"/>
      <c r="J1348" s="61"/>
      <c r="K1348" s="61"/>
      <c r="L1348" s="61"/>
      <c r="M1348" s="61"/>
      <c r="N1348" s="61"/>
      <c r="O1348" s="61"/>
      <c r="P1348" s="61"/>
      <c r="Q1348" s="61"/>
      <c r="R1348" s="61"/>
      <c r="S1348" s="61"/>
      <c r="T1348" s="61"/>
      <c r="U1348" s="61"/>
      <c r="V1348" s="61"/>
      <c r="W1348" s="61"/>
      <c r="X1348" s="61"/>
      <c r="Y1348" s="61"/>
      <c r="Z1348" s="61"/>
    </row>
    <row r="1349" ht="15.75" customHeight="1">
      <c r="A1349" s="61"/>
      <c r="B1349" s="61"/>
      <c r="C1349" s="61"/>
      <c r="D1349" s="61"/>
      <c r="E1349" s="61"/>
      <c r="F1349" s="61"/>
      <c r="G1349" s="61" t="str">
        <f>IFERROR(__xludf.DUMMYFUNCTION("""COMPUTED_VALUE"""),"")</f>
        <v/>
      </c>
      <c r="H1349" s="63"/>
      <c r="I1349" s="61"/>
      <c r="J1349" s="61"/>
      <c r="K1349" s="61"/>
      <c r="L1349" s="61"/>
      <c r="M1349" s="61"/>
      <c r="N1349" s="61"/>
      <c r="O1349" s="61"/>
      <c r="P1349" s="61"/>
      <c r="Q1349" s="61"/>
      <c r="R1349" s="61"/>
      <c r="S1349" s="61"/>
      <c r="T1349" s="61"/>
      <c r="U1349" s="61"/>
      <c r="V1349" s="61"/>
      <c r="W1349" s="61"/>
      <c r="X1349" s="61"/>
      <c r="Y1349" s="61"/>
      <c r="Z1349" s="61"/>
    </row>
    <row r="1350" ht="15.75" customHeight="1">
      <c r="A1350" s="61"/>
      <c r="B1350" s="61"/>
      <c r="C1350" s="61"/>
      <c r="D1350" s="61"/>
      <c r="E1350" s="61"/>
      <c r="F1350" s="61"/>
      <c r="G1350" s="61" t="str">
        <f>IFERROR(__xludf.DUMMYFUNCTION("""COMPUTED_VALUE"""),"")</f>
        <v/>
      </c>
      <c r="H1350" s="63"/>
      <c r="I1350" s="61"/>
      <c r="J1350" s="61"/>
      <c r="K1350" s="61"/>
      <c r="L1350" s="61"/>
      <c r="M1350" s="61"/>
      <c r="N1350" s="61"/>
      <c r="O1350" s="61"/>
      <c r="P1350" s="61"/>
      <c r="Q1350" s="61"/>
      <c r="R1350" s="61"/>
      <c r="S1350" s="61"/>
      <c r="T1350" s="61"/>
      <c r="U1350" s="61"/>
      <c r="V1350" s="61"/>
      <c r="W1350" s="61"/>
      <c r="X1350" s="61"/>
      <c r="Y1350" s="61"/>
      <c r="Z1350" s="61"/>
    </row>
    <row r="1351" ht="15.75" customHeight="1">
      <c r="A1351" s="61"/>
      <c r="B1351" s="61"/>
      <c r="C1351" s="61"/>
      <c r="D1351" s="61"/>
      <c r="E1351" s="61"/>
      <c r="F1351" s="61"/>
      <c r="G1351" s="61" t="str">
        <f>IFERROR(__xludf.DUMMYFUNCTION("""COMPUTED_VALUE"""),"")</f>
        <v/>
      </c>
      <c r="H1351" s="63"/>
      <c r="I1351" s="61"/>
      <c r="J1351" s="61"/>
      <c r="K1351" s="61"/>
      <c r="L1351" s="61"/>
      <c r="M1351" s="61"/>
      <c r="N1351" s="61"/>
      <c r="O1351" s="61"/>
      <c r="P1351" s="61"/>
      <c r="Q1351" s="61"/>
      <c r="R1351" s="61"/>
      <c r="S1351" s="61"/>
      <c r="T1351" s="61"/>
      <c r="U1351" s="61"/>
      <c r="V1351" s="61"/>
      <c r="W1351" s="61"/>
      <c r="X1351" s="61"/>
      <c r="Y1351" s="61"/>
      <c r="Z1351" s="61"/>
    </row>
    <row r="1352" ht="15.75" customHeight="1">
      <c r="A1352" s="61"/>
      <c r="B1352" s="61"/>
      <c r="C1352" s="61"/>
      <c r="D1352" s="61"/>
      <c r="E1352" s="61"/>
      <c r="F1352" s="61"/>
      <c r="G1352" s="61" t="str">
        <f>IFERROR(__xludf.DUMMYFUNCTION("""COMPUTED_VALUE"""),"")</f>
        <v/>
      </c>
      <c r="H1352" s="63"/>
      <c r="I1352" s="61"/>
      <c r="J1352" s="61"/>
      <c r="K1352" s="61"/>
      <c r="L1352" s="61"/>
      <c r="M1352" s="61"/>
      <c r="N1352" s="61"/>
      <c r="O1352" s="61"/>
      <c r="P1352" s="61"/>
      <c r="Q1352" s="61"/>
      <c r="R1352" s="61"/>
      <c r="S1352" s="61"/>
      <c r="T1352" s="61"/>
      <c r="U1352" s="61"/>
      <c r="V1352" s="61"/>
      <c r="W1352" s="61"/>
      <c r="X1352" s="61"/>
      <c r="Y1352" s="61"/>
      <c r="Z1352" s="61"/>
    </row>
    <row r="1353" ht="15.75" customHeight="1">
      <c r="A1353" s="61"/>
      <c r="B1353" s="61"/>
      <c r="C1353" s="61"/>
      <c r="D1353" s="61"/>
      <c r="E1353" s="61"/>
      <c r="F1353" s="61"/>
      <c r="G1353" s="61" t="str">
        <f>IFERROR(__xludf.DUMMYFUNCTION("""COMPUTED_VALUE"""),"")</f>
        <v/>
      </c>
      <c r="H1353" s="63"/>
      <c r="I1353" s="61"/>
      <c r="J1353" s="61"/>
      <c r="K1353" s="61"/>
      <c r="L1353" s="61"/>
      <c r="M1353" s="61"/>
      <c r="N1353" s="61"/>
      <c r="O1353" s="61"/>
      <c r="P1353" s="61"/>
      <c r="Q1353" s="61"/>
      <c r="R1353" s="61"/>
      <c r="S1353" s="61"/>
      <c r="T1353" s="61"/>
      <c r="U1353" s="61"/>
      <c r="V1353" s="61"/>
      <c r="W1353" s="61"/>
      <c r="X1353" s="61"/>
      <c r="Y1353" s="61"/>
      <c r="Z1353" s="61"/>
    </row>
    <row r="1354" ht="15.75" customHeight="1">
      <c r="A1354" s="61"/>
      <c r="B1354" s="61"/>
      <c r="C1354" s="61"/>
      <c r="D1354" s="61"/>
      <c r="E1354" s="61"/>
      <c r="F1354" s="61"/>
      <c r="G1354" s="61" t="str">
        <f>IFERROR(__xludf.DUMMYFUNCTION("""COMPUTED_VALUE"""),"")</f>
        <v/>
      </c>
      <c r="H1354" s="63"/>
      <c r="I1354" s="61"/>
      <c r="J1354" s="61"/>
      <c r="K1354" s="61"/>
      <c r="L1354" s="61"/>
      <c r="M1354" s="61"/>
      <c r="N1354" s="61"/>
      <c r="O1354" s="61"/>
      <c r="P1354" s="61"/>
      <c r="Q1354" s="61"/>
      <c r="R1354" s="61"/>
      <c r="S1354" s="61"/>
      <c r="T1354" s="61"/>
      <c r="U1354" s="61"/>
      <c r="V1354" s="61"/>
      <c r="W1354" s="61"/>
      <c r="X1354" s="61"/>
      <c r="Y1354" s="61"/>
      <c r="Z1354" s="61"/>
    </row>
    <row r="1355" ht="15.75" customHeight="1">
      <c r="A1355" s="61"/>
      <c r="B1355" s="61"/>
      <c r="C1355" s="61"/>
      <c r="D1355" s="61"/>
      <c r="E1355" s="61"/>
      <c r="F1355" s="61"/>
      <c r="G1355" s="61" t="str">
        <f>IFERROR(__xludf.DUMMYFUNCTION("""COMPUTED_VALUE"""),"")</f>
        <v/>
      </c>
      <c r="H1355" s="63"/>
      <c r="I1355" s="61"/>
      <c r="J1355" s="61"/>
      <c r="K1355" s="61"/>
      <c r="L1355" s="61"/>
      <c r="M1355" s="61"/>
      <c r="N1355" s="61"/>
      <c r="O1355" s="61"/>
      <c r="P1355" s="61"/>
      <c r="Q1355" s="61"/>
      <c r="R1355" s="61"/>
      <c r="S1355" s="61"/>
      <c r="T1355" s="61"/>
      <c r="U1355" s="61"/>
      <c r="V1355" s="61"/>
      <c r="W1355" s="61"/>
      <c r="X1355" s="61"/>
      <c r="Y1355" s="61"/>
      <c r="Z1355" s="61"/>
    </row>
    <row r="1356" ht="15.75" customHeight="1">
      <c r="A1356" s="61"/>
      <c r="B1356" s="61"/>
      <c r="C1356" s="61"/>
      <c r="D1356" s="61"/>
      <c r="E1356" s="61"/>
      <c r="F1356" s="61"/>
      <c r="G1356" s="61" t="str">
        <f>IFERROR(__xludf.DUMMYFUNCTION("""COMPUTED_VALUE"""),"")</f>
        <v/>
      </c>
      <c r="H1356" s="63"/>
      <c r="I1356" s="61"/>
      <c r="J1356" s="61"/>
      <c r="K1356" s="61"/>
      <c r="L1356" s="61"/>
      <c r="M1356" s="61"/>
      <c r="N1356" s="61"/>
      <c r="O1356" s="61"/>
      <c r="P1356" s="61"/>
      <c r="Q1356" s="61"/>
      <c r="R1356" s="61"/>
      <c r="S1356" s="61"/>
      <c r="T1356" s="61"/>
      <c r="U1356" s="61"/>
      <c r="V1356" s="61"/>
      <c r="W1356" s="61"/>
      <c r="X1356" s="61"/>
      <c r="Y1356" s="61"/>
      <c r="Z1356" s="61"/>
    </row>
    <row r="1357" ht="15.75" customHeight="1">
      <c r="A1357" s="61"/>
      <c r="B1357" s="61"/>
      <c r="C1357" s="61"/>
      <c r="D1357" s="61"/>
      <c r="E1357" s="61"/>
      <c r="F1357" s="61"/>
      <c r="G1357" s="61" t="str">
        <f>IFERROR(__xludf.DUMMYFUNCTION("""COMPUTED_VALUE"""),"")</f>
        <v/>
      </c>
      <c r="H1357" s="63"/>
      <c r="I1357" s="61"/>
      <c r="J1357" s="61"/>
      <c r="K1357" s="61"/>
      <c r="L1357" s="61"/>
      <c r="M1357" s="61"/>
      <c r="N1357" s="61"/>
      <c r="O1357" s="61"/>
      <c r="P1357" s="61"/>
      <c r="Q1357" s="61"/>
      <c r="R1357" s="61"/>
      <c r="S1357" s="61"/>
      <c r="T1357" s="61"/>
      <c r="U1357" s="61"/>
      <c r="V1357" s="61"/>
      <c r="W1357" s="61"/>
      <c r="X1357" s="61"/>
      <c r="Y1357" s="61"/>
      <c r="Z1357" s="61"/>
    </row>
    <row r="1358" ht="15.75" customHeight="1">
      <c r="A1358" s="61"/>
      <c r="B1358" s="61"/>
      <c r="C1358" s="61"/>
      <c r="D1358" s="61"/>
      <c r="E1358" s="61"/>
      <c r="F1358" s="61"/>
      <c r="G1358" s="61" t="str">
        <f>IFERROR(__xludf.DUMMYFUNCTION("""COMPUTED_VALUE"""),"")</f>
        <v/>
      </c>
      <c r="H1358" s="63"/>
      <c r="I1358" s="61"/>
      <c r="J1358" s="61"/>
      <c r="K1358" s="61"/>
      <c r="L1358" s="61"/>
      <c r="M1358" s="61"/>
      <c r="N1358" s="61"/>
      <c r="O1358" s="61"/>
      <c r="P1358" s="61"/>
      <c r="Q1358" s="61"/>
      <c r="R1358" s="61"/>
      <c r="S1358" s="61"/>
      <c r="T1358" s="61"/>
      <c r="U1358" s="61"/>
      <c r="V1358" s="61"/>
      <c r="W1358" s="61"/>
      <c r="X1358" s="61"/>
      <c r="Y1358" s="61"/>
      <c r="Z1358" s="61"/>
    </row>
    <row r="1359" ht="15.75" customHeight="1">
      <c r="A1359" s="61"/>
      <c r="B1359" s="61"/>
      <c r="C1359" s="61"/>
      <c r="D1359" s="61"/>
      <c r="E1359" s="61"/>
      <c r="F1359" s="61"/>
      <c r="G1359" s="61" t="str">
        <f>IFERROR(__xludf.DUMMYFUNCTION("""COMPUTED_VALUE"""),"")</f>
        <v/>
      </c>
      <c r="H1359" s="63"/>
      <c r="I1359" s="61"/>
      <c r="J1359" s="61"/>
      <c r="K1359" s="61"/>
      <c r="L1359" s="61"/>
      <c r="M1359" s="61"/>
      <c r="N1359" s="61"/>
      <c r="O1359" s="61"/>
      <c r="P1359" s="61"/>
      <c r="Q1359" s="61"/>
      <c r="R1359" s="61"/>
      <c r="S1359" s="61"/>
      <c r="T1359" s="61"/>
      <c r="U1359" s="61"/>
      <c r="V1359" s="61"/>
      <c r="W1359" s="61"/>
      <c r="X1359" s="61"/>
      <c r="Y1359" s="61"/>
      <c r="Z1359" s="61"/>
    </row>
    <row r="1360" ht="15.75" customHeight="1">
      <c r="A1360" s="61"/>
      <c r="B1360" s="61"/>
      <c r="C1360" s="61"/>
      <c r="D1360" s="61"/>
      <c r="E1360" s="61"/>
      <c r="F1360" s="61"/>
      <c r="G1360" s="61" t="str">
        <f>IFERROR(__xludf.DUMMYFUNCTION("""COMPUTED_VALUE"""),"")</f>
        <v/>
      </c>
      <c r="H1360" s="63"/>
      <c r="I1360" s="61"/>
      <c r="J1360" s="61"/>
      <c r="K1360" s="61"/>
      <c r="L1360" s="61"/>
      <c r="M1360" s="61"/>
      <c r="N1360" s="61"/>
      <c r="O1360" s="61"/>
      <c r="P1360" s="61"/>
      <c r="Q1360" s="61"/>
      <c r="R1360" s="61"/>
      <c r="S1360" s="61"/>
      <c r="T1360" s="61"/>
      <c r="U1360" s="61"/>
      <c r="V1360" s="61"/>
      <c r="W1360" s="61"/>
      <c r="X1360" s="61"/>
      <c r="Y1360" s="61"/>
      <c r="Z1360" s="61"/>
    </row>
    <row r="1361" ht="15.75" customHeight="1">
      <c r="A1361" s="61"/>
      <c r="B1361" s="61"/>
      <c r="C1361" s="61"/>
      <c r="D1361" s="61"/>
      <c r="E1361" s="61"/>
      <c r="F1361" s="61"/>
      <c r="G1361" s="61" t="str">
        <f>IFERROR(__xludf.DUMMYFUNCTION("""COMPUTED_VALUE"""),"")</f>
        <v/>
      </c>
      <c r="H1361" s="63"/>
      <c r="I1361" s="61"/>
      <c r="J1361" s="61"/>
      <c r="K1361" s="61"/>
      <c r="L1361" s="61"/>
      <c r="M1361" s="61"/>
      <c r="N1361" s="61"/>
      <c r="O1361" s="61"/>
      <c r="P1361" s="61"/>
      <c r="Q1361" s="61"/>
      <c r="R1361" s="61"/>
      <c r="S1361" s="61"/>
      <c r="T1361" s="61"/>
      <c r="U1361" s="61"/>
      <c r="V1361" s="61"/>
      <c r="W1361" s="61"/>
      <c r="X1361" s="61"/>
      <c r="Y1361" s="61"/>
      <c r="Z1361" s="61"/>
    </row>
    <row r="1362" ht="15.75" customHeight="1">
      <c r="A1362" s="61"/>
      <c r="B1362" s="61"/>
      <c r="C1362" s="61"/>
      <c r="D1362" s="61"/>
      <c r="E1362" s="61"/>
      <c r="F1362" s="61"/>
      <c r="G1362" s="61" t="str">
        <f>IFERROR(__xludf.DUMMYFUNCTION("""COMPUTED_VALUE"""),"")</f>
        <v/>
      </c>
      <c r="H1362" s="63"/>
      <c r="I1362" s="61"/>
      <c r="J1362" s="61"/>
      <c r="K1362" s="61"/>
      <c r="L1362" s="61"/>
      <c r="M1362" s="61"/>
      <c r="N1362" s="61"/>
      <c r="O1362" s="61"/>
      <c r="P1362" s="61"/>
      <c r="Q1362" s="61"/>
      <c r="R1362" s="61"/>
      <c r="S1362" s="61"/>
      <c r="T1362" s="61"/>
      <c r="U1362" s="61"/>
      <c r="V1362" s="61"/>
      <c r="W1362" s="61"/>
      <c r="X1362" s="61"/>
      <c r="Y1362" s="61"/>
      <c r="Z1362" s="61"/>
    </row>
    <row r="1363" ht="15.75" customHeight="1">
      <c r="A1363" s="61"/>
      <c r="B1363" s="61"/>
      <c r="C1363" s="61"/>
      <c r="D1363" s="61"/>
      <c r="E1363" s="61"/>
      <c r="F1363" s="61"/>
      <c r="G1363" s="61" t="str">
        <f>IFERROR(__xludf.DUMMYFUNCTION("""COMPUTED_VALUE"""),"")</f>
        <v/>
      </c>
      <c r="H1363" s="63"/>
      <c r="I1363" s="61"/>
      <c r="J1363" s="61"/>
      <c r="K1363" s="61"/>
      <c r="L1363" s="61"/>
      <c r="M1363" s="61"/>
      <c r="N1363" s="61"/>
      <c r="O1363" s="61"/>
      <c r="P1363" s="61"/>
      <c r="Q1363" s="61"/>
      <c r="R1363" s="61"/>
      <c r="S1363" s="61"/>
      <c r="T1363" s="61"/>
      <c r="U1363" s="61"/>
      <c r="V1363" s="61"/>
      <c r="W1363" s="61"/>
      <c r="X1363" s="61"/>
      <c r="Y1363" s="61"/>
      <c r="Z1363" s="61"/>
    </row>
    <row r="1364" ht="15.75" customHeight="1">
      <c r="A1364" s="61"/>
      <c r="B1364" s="61"/>
      <c r="C1364" s="61"/>
      <c r="D1364" s="61"/>
      <c r="E1364" s="61"/>
      <c r="F1364" s="61"/>
      <c r="G1364" s="61" t="str">
        <f>IFERROR(__xludf.DUMMYFUNCTION("""COMPUTED_VALUE"""),"")</f>
        <v/>
      </c>
      <c r="H1364" s="63"/>
      <c r="I1364" s="61"/>
      <c r="J1364" s="61"/>
      <c r="K1364" s="61"/>
      <c r="L1364" s="61"/>
      <c r="M1364" s="61"/>
      <c r="N1364" s="61"/>
      <c r="O1364" s="61"/>
      <c r="P1364" s="61"/>
      <c r="Q1364" s="61"/>
      <c r="R1364" s="61"/>
      <c r="S1364" s="61"/>
      <c r="T1364" s="61"/>
      <c r="U1364" s="61"/>
      <c r="V1364" s="61"/>
      <c r="W1364" s="61"/>
      <c r="X1364" s="61"/>
      <c r="Y1364" s="61"/>
      <c r="Z1364" s="61"/>
    </row>
    <row r="1365" ht="15.75" customHeight="1">
      <c r="A1365" s="61"/>
      <c r="B1365" s="61"/>
      <c r="C1365" s="61"/>
      <c r="D1365" s="61"/>
      <c r="E1365" s="61"/>
      <c r="F1365" s="61"/>
      <c r="G1365" s="61" t="str">
        <f>IFERROR(__xludf.DUMMYFUNCTION("""COMPUTED_VALUE"""),"")</f>
        <v/>
      </c>
      <c r="H1365" s="63"/>
      <c r="I1365" s="61"/>
      <c r="J1365" s="61"/>
      <c r="K1365" s="61"/>
      <c r="L1365" s="61"/>
      <c r="M1365" s="61"/>
      <c r="N1365" s="61"/>
      <c r="O1365" s="61"/>
      <c r="P1365" s="61"/>
      <c r="Q1365" s="61"/>
      <c r="R1365" s="61"/>
      <c r="S1365" s="61"/>
      <c r="T1365" s="61"/>
      <c r="U1365" s="61"/>
      <c r="V1365" s="61"/>
      <c r="W1365" s="61"/>
      <c r="X1365" s="61"/>
      <c r="Y1365" s="61"/>
      <c r="Z1365" s="61"/>
    </row>
    <row r="1366" ht="15.75" customHeight="1">
      <c r="A1366" s="61"/>
      <c r="B1366" s="61"/>
      <c r="C1366" s="61"/>
      <c r="D1366" s="61"/>
      <c r="E1366" s="61"/>
      <c r="F1366" s="61"/>
      <c r="G1366" s="61" t="str">
        <f>IFERROR(__xludf.DUMMYFUNCTION("""COMPUTED_VALUE"""),"")</f>
        <v/>
      </c>
      <c r="H1366" s="63"/>
      <c r="I1366" s="61"/>
      <c r="J1366" s="61"/>
      <c r="K1366" s="61"/>
      <c r="L1366" s="61"/>
      <c r="M1366" s="61"/>
      <c r="N1366" s="61"/>
      <c r="O1366" s="61"/>
      <c r="P1366" s="61"/>
      <c r="Q1366" s="61"/>
      <c r="R1366" s="61"/>
      <c r="S1366" s="61"/>
      <c r="T1366" s="61"/>
      <c r="U1366" s="61"/>
      <c r="V1366" s="61"/>
      <c r="W1366" s="61"/>
      <c r="X1366" s="61"/>
      <c r="Y1366" s="61"/>
      <c r="Z1366" s="61"/>
    </row>
    <row r="1367" ht="15.75" customHeight="1">
      <c r="A1367" s="61"/>
      <c r="B1367" s="61"/>
      <c r="C1367" s="61"/>
      <c r="D1367" s="61"/>
      <c r="E1367" s="61"/>
      <c r="F1367" s="61"/>
      <c r="G1367" s="61" t="str">
        <f>IFERROR(__xludf.DUMMYFUNCTION("""COMPUTED_VALUE"""),"")</f>
        <v/>
      </c>
      <c r="H1367" s="63"/>
      <c r="I1367" s="61"/>
      <c r="J1367" s="61"/>
      <c r="K1367" s="61"/>
      <c r="L1367" s="61"/>
      <c r="M1367" s="61"/>
      <c r="N1367" s="61"/>
      <c r="O1367" s="61"/>
      <c r="P1367" s="61"/>
      <c r="Q1367" s="61"/>
      <c r="R1367" s="61"/>
      <c r="S1367" s="61"/>
      <c r="T1367" s="61"/>
      <c r="U1367" s="61"/>
      <c r="V1367" s="61"/>
      <c r="W1367" s="61"/>
      <c r="X1367" s="61"/>
      <c r="Y1367" s="61"/>
      <c r="Z1367" s="61"/>
    </row>
    <row r="1368" ht="15.75" customHeight="1">
      <c r="A1368" s="61"/>
      <c r="B1368" s="61"/>
      <c r="C1368" s="61"/>
      <c r="D1368" s="61"/>
      <c r="E1368" s="61"/>
      <c r="F1368" s="61"/>
      <c r="G1368" s="61" t="str">
        <f>IFERROR(__xludf.DUMMYFUNCTION("""COMPUTED_VALUE"""),"")</f>
        <v/>
      </c>
      <c r="H1368" s="63"/>
      <c r="I1368" s="61"/>
      <c r="J1368" s="61"/>
      <c r="K1368" s="61"/>
      <c r="L1368" s="61"/>
      <c r="M1368" s="61"/>
      <c r="N1368" s="61"/>
      <c r="O1368" s="61"/>
      <c r="P1368" s="61"/>
      <c r="Q1368" s="61"/>
      <c r="R1368" s="61"/>
      <c r="S1368" s="61"/>
      <c r="T1368" s="61"/>
      <c r="U1368" s="61"/>
      <c r="V1368" s="61"/>
      <c r="W1368" s="61"/>
      <c r="X1368" s="61"/>
      <c r="Y1368" s="61"/>
      <c r="Z1368" s="61"/>
    </row>
    <row r="1369" ht="15.75" customHeight="1">
      <c r="A1369" s="61"/>
      <c r="B1369" s="61"/>
      <c r="C1369" s="61"/>
      <c r="D1369" s="61"/>
      <c r="E1369" s="61"/>
      <c r="F1369" s="61"/>
      <c r="G1369" s="61" t="str">
        <f>IFERROR(__xludf.DUMMYFUNCTION("""COMPUTED_VALUE"""),"")</f>
        <v/>
      </c>
      <c r="H1369" s="63"/>
      <c r="I1369" s="61"/>
      <c r="J1369" s="61"/>
      <c r="K1369" s="61"/>
      <c r="L1369" s="61"/>
      <c r="M1369" s="61"/>
      <c r="N1369" s="61"/>
      <c r="O1369" s="61"/>
      <c r="P1369" s="61"/>
      <c r="Q1369" s="61"/>
      <c r="R1369" s="61"/>
      <c r="S1369" s="61"/>
      <c r="T1369" s="61"/>
      <c r="U1369" s="61"/>
      <c r="V1369" s="61"/>
      <c r="W1369" s="61"/>
      <c r="X1369" s="61"/>
      <c r="Y1369" s="61"/>
      <c r="Z1369" s="61"/>
    </row>
    <row r="1370" ht="15.75" customHeight="1">
      <c r="A1370" s="61"/>
      <c r="B1370" s="61"/>
      <c r="C1370" s="61"/>
      <c r="D1370" s="61"/>
      <c r="E1370" s="61"/>
      <c r="F1370" s="61"/>
      <c r="G1370" s="61" t="str">
        <f>IFERROR(__xludf.DUMMYFUNCTION("""COMPUTED_VALUE"""),"")</f>
        <v/>
      </c>
      <c r="H1370" s="63"/>
      <c r="I1370" s="61"/>
      <c r="J1370" s="61"/>
      <c r="K1370" s="61"/>
      <c r="L1370" s="61"/>
      <c r="M1370" s="61"/>
      <c r="N1370" s="61"/>
      <c r="O1370" s="61"/>
      <c r="P1370" s="61"/>
      <c r="Q1370" s="61"/>
      <c r="R1370" s="61"/>
      <c r="S1370" s="61"/>
      <c r="T1370" s="61"/>
      <c r="U1370" s="61"/>
      <c r="V1370" s="61"/>
      <c r="W1370" s="61"/>
      <c r="X1370" s="61"/>
      <c r="Y1370" s="61"/>
      <c r="Z1370" s="61"/>
    </row>
    <row r="1371" ht="15.75" customHeight="1">
      <c r="A1371" s="61"/>
      <c r="B1371" s="61"/>
      <c r="C1371" s="61"/>
      <c r="D1371" s="61"/>
      <c r="E1371" s="61"/>
      <c r="F1371" s="61"/>
      <c r="G1371" s="61" t="str">
        <f>IFERROR(__xludf.DUMMYFUNCTION("""COMPUTED_VALUE"""),"")</f>
        <v/>
      </c>
      <c r="H1371" s="63"/>
      <c r="I1371" s="61"/>
      <c r="J1371" s="61"/>
      <c r="K1371" s="61"/>
      <c r="L1371" s="61"/>
      <c r="M1371" s="61"/>
      <c r="N1371" s="61"/>
      <c r="O1371" s="61"/>
      <c r="P1371" s="61"/>
      <c r="Q1371" s="61"/>
      <c r="R1371" s="61"/>
      <c r="S1371" s="61"/>
      <c r="T1371" s="61"/>
      <c r="U1371" s="61"/>
      <c r="V1371" s="61"/>
      <c r="W1371" s="61"/>
      <c r="X1371" s="61"/>
      <c r="Y1371" s="61"/>
      <c r="Z1371" s="61"/>
    </row>
    <row r="1372" ht="15.75" customHeight="1">
      <c r="A1372" s="61"/>
      <c r="B1372" s="61"/>
      <c r="C1372" s="61"/>
      <c r="D1372" s="61"/>
      <c r="E1372" s="61"/>
      <c r="F1372" s="61"/>
      <c r="G1372" s="61" t="str">
        <f>IFERROR(__xludf.DUMMYFUNCTION("""COMPUTED_VALUE"""),"")</f>
        <v/>
      </c>
      <c r="H1372" s="63"/>
      <c r="I1372" s="61"/>
      <c r="J1372" s="61"/>
      <c r="K1372" s="61"/>
      <c r="L1372" s="61"/>
      <c r="M1372" s="61"/>
      <c r="N1372" s="61"/>
      <c r="O1372" s="61"/>
      <c r="P1372" s="61"/>
      <c r="Q1372" s="61"/>
      <c r="R1372" s="61"/>
      <c r="S1372" s="61"/>
      <c r="T1372" s="61"/>
      <c r="U1372" s="61"/>
      <c r="V1372" s="61"/>
      <c r="W1372" s="61"/>
      <c r="X1372" s="61"/>
      <c r="Y1372" s="61"/>
      <c r="Z1372" s="61"/>
    </row>
    <row r="1373" ht="15.75" customHeight="1">
      <c r="A1373" s="61"/>
      <c r="B1373" s="61"/>
      <c r="C1373" s="61"/>
      <c r="D1373" s="61"/>
      <c r="E1373" s="61"/>
      <c r="F1373" s="61"/>
      <c r="G1373" s="61" t="str">
        <f>IFERROR(__xludf.DUMMYFUNCTION("""COMPUTED_VALUE"""),"")</f>
        <v/>
      </c>
      <c r="H1373" s="63"/>
      <c r="I1373" s="61"/>
      <c r="J1373" s="61"/>
      <c r="K1373" s="61"/>
      <c r="L1373" s="61"/>
      <c r="M1373" s="61"/>
      <c r="N1373" s="61"/>
      <c r="O1373" s="61"/>
      <c r="P1373" s="61"/>
      <c r="Q1373" s="61"/>
      <c r="R1373" s="61"/>
      <c r="S1373" s="61"/>
      <c r="T1373" s="61"/>
      <c r="U1373" s="61"/>
      <c r="V1373" s="61"/>
      <c r="W1373" s="61"/>
      <c r="X1373" s="61"/>
      <c r="Y1373" s="61"/>
      <c r="Z1373" s="61"/>
    </row>
    <row r="1374" ht="15.75" customHeight="1">
      <c r="A1374" s="61"/>
      <c r="B1374" s="61"/>
      <c r="C1374" s="61"/>
      <c r="D1374" s="61"/>
      <c r="E1374" s="61"/>
      <c r="F1374" s="61"/>
      <c r="G1374" s="61" t="str">
        <f>IFERROR(__xludf.DUMMYFUNCTION("""COMPUTED_VALUE"""),"")</f>
        <v/>
      </c>
      <c r="H1374" s="63"/>
      <c r="I1374" s="61"/>
      <c r="J1374" s="61"/>
      <c r="K1374" s="61"/>
      <c r="L1374" s="61"/>
      <c r="M1374" s="61"/>
      <c r="N1374" s="61"/>
      <c r="O1374" s="61"/>
      <c r="P1374" s="61"/>
      <c r="Q1374" s="61"/>
      <c r="R1374" s="61"/>
      <c r="S1374" s="61"/>
      <c r="T1374" s="61"/>
      <c r="U1374" s="61"/>
      <c r="V1374" s="61"/>
      <c r="W1374" s="61"/>
      <c r="X1374" s="61"/>
      <c r="Y1374" s="61"/>
      <c r="Z1374" s="61"/>
    </row>
    <row r="1375" ht="15.75" customHeight="1">
      <c r="A1375" s="61"/>
      <c r="B1375" s="61"/>
      <c r="C1375" s="61"/>
      <c r="D1375" s="61"/>
      <c r="E1375" s="61"/>
      <c r="F1375" s="61"/>
      <c r="G1375" s="61" t="str">
        <f>IFERROR(__xludf.DUMMYFUNCTION("""COMPUTED_VALUE"""),"")</f>
        <v/>
      </c>
      <c r="H1375" s="63"/>
      <c r="I1375" s="61"/>
      <c r="J1375" s="61"/>
      <c r="K1375" s="61"/>
      <c r="L1375" s="61"/>
      <c r="M1375" s="61"/>
      <c r="N1375" s="61"/>
      <c r="O1375" s="61"/>
      <c r="P1375" s="61"/>
      <c r="Q1375" s="61"/>
      <c r="R1375" s="61"/>
      <c r="S1375" s="61"/>
      <c r="T1375" s="61"/>
      <c r="U1375" s="61"/>
      <c r="V1375" s="61"/>
      <c r="W1375" s="61"/>
      <c r="X1375" s="61"/>
      <c r="Y1375" s="61"/>
      <c r="Z1375" s="61"/>
    </row>
    <row r="1376" ht="15.75" customHeight="1">
      <c r="A1376" s="61"/>
      <c r="B1376" s="61"/>
      <c r="C1376" s="61"/>
      <c r="D1376" s="61"/>
      <c r="E1376" s="61"/>
      <c r="F1376" s="61"/>
      <c r="G1376" s="61" t="str">
        <f>IFERROR(__xludf.DUMMYFUNCTION("""COMPUTED_VALUE"""),"")</f>
        <v/>
      </c>
      <c r="H1376" s="63"/>
      <c r="I1376" s="61"/>
      <c r="J1376" s="61"/>
      <c r="K1376" s="61"/>
      <c r="L1376" s="61"/>
      <c r="M1376" s="61"/>
      <c r="N1376" s="61"/>
      <c r="O1376" s="61"/>
      <c r="P1376" s="61"/>
      <c r="Q1376" s="61"/>
      <c r="R1376" s="61"/>
      <c r="S1376" s="61"/>
      <c r="T1376" s="61"/>
      <c r="U1376" s="61"/>
      <c r="V1376" s="61"/>
      <c r="W1376" s="61"/>
      <c r="X1376" s="61"/>
      <c r="Y1376" s="61"/>
      <c r="Z1376" s="61"/>
    </row>
    <row r="1377" ht="15.75" customHeight="1">
      <c r="A1377" s="61"/>
      <c r="B1377" s="61"/>
      <c r="C1377" s="61"/>
      <c r="D1377" s="61"/>
      <c r="E1377" s="61"/>
      <c r="F1377" s="61"/>
      <c r="G1377" s="61" t="str">
        <f>IFERROR(__xludf.DUMMYFUNCTION("""COMPUTED_VALUE"""),"")</f>
        <v/>
      </c>
      <c r="H1377" s="63"/>
      <c r="I1377" s="61"/>
      <c r="J1377" s="61"/>
      <c r="K1377" s="61"/>
      <c r="L1377" s="61"/>
      <c r="M1377" s="61"/>
      <c r="N1377" s="61"/>
      <c r="O1377" s="61"/>
      <c r="P1377" s="61"/>
      <c r="Q1377" s="61"/>
      <c r="R1377" s="61"/>
      <c r="S1377" s="61"/>
      <c r="T1377" s="61"/>
      <c r="U1377" s="61"/>
      <c r="V1377" s="61"/>
      <c r="W1377" s="61"/>
      <c r="X1377" s="61"/>
      <c r="Y1377" s="61"/>
      <c r="Z1377" s="61"/>
    </row>
    <row r="1378" ht="15.75" customHeight="1">
      <c r="A1378" s="61"/>
      <c r="B1378" s="61"/>
      <c r="C1378" s="61"/>
      <c r="D1378" s="61"/>
      <c r="E1378" s="61"/>
      <c r="F1378" s="61"/>
      <c r="G1378" s="61" t="str">
        <f>IFERROR(__xludf.DUMMYFUNCTION("""COMPUTED_VALUE"""),"")</f>
        <v/>
      </c>
      <c r="H1378" s="63"/>
      <c r="I1378" s="61"/>
      <c r="J1378" s="61"/>
      <c r="K1378" s="61"/>
      <c r="L1378" s="61"/>
      <c r="M1378" s="61"/>
      <c r="N1378" s="61"/>
      <c r="O1378" s="61"/>
      <c r="P1378" s="61"/>
      <c r="Q1378" s="61"/>
      <c r="R1378" s="61"/>
      <c r="S1378" s="61"/>
      <c r="T1378" s="61"/>
      <c r="U1378" s="61"/>
      <c r="V1378" s="61"/>
      <c r="W1378" s="61"/>
      <c r="X1378" s="61"/>
      <c r="Y1378" s="61"/>
      <c r="Z1378" s="61"/>
    </row>
    <row r="1379" ht="15.75" customHeight="1">
      <c r="A1379" s="61"/>
      <c r="B1379" s="61"/>
      <c r="C1379" s="61"/>
      <c r="D1379" s="61"/>
      <c r="E1379" s="61"/>
      <c r="F1379" s="61"/>
      <c r="G1379" s="61" t="str">
        <f>IFERROR(__xludf.DUMMYFUNCTION("""COMPUTED_VALUE"""),"")</f>
        <v/>
      </c>
      <c r="H1379" s="63"/>
      <c r="I1379" s="61"/>
      <c r="J1379" s="61"/>
      <c r="K1379" s="61"/>
      <c r="L1379" s="61"/>
      <c r="M1379" s="61"/>
      <c r="N1379" s="61"/>
      <c r="O1379" s="61"/>
      <c r="P1379" s="61"/>
      <c r="Q1379" s="61"/>
      <c r="R1379" s="61"/>
      <c r="S1379" s="61"/>
      <c r="T1379" s="61"/>
      <c r="U1379" s="61"/>
      <c r="V1379" s="61"/>
      <c r="W1379" s="61"/>
      <c r="X1379" s="61"/>
      <c r="Y1379" s="61"/>
      <c r="Z1379" s="61"/>
    </row>
    <row r="1380" ht="15.75" customHeight="1">
      <c r="A1380" s="61"/>
      <c r="B1380" s="61"/>
      <c r="C1380" s="61"/>
      <c r="D1380" s="61"/>
      <c r="E1380" s="61"/>
      <c r="F1380" s="61"/>
      <c r="G1380" s="61" t="str">
        <f>IFERROR(__xludf.DUMMYFUNCTION("""COMPUTED_VALUE"""),"")</f>
        <v/>
      </c>
      <c r="H1380" s="63"/>
      <c r="I1380" s="61"/>
      <c r="J1380" s="61"/>
      <c r="K1380" s="61"/>
      <c r="L1380" s="61"/>
      <c r="M1380" s="61"/>
      <c r="N1380" s="61"/>
      <c r="O1380" s="61"/>
      <c r="P1380" s="61"/>
      <c r="Q1380" s="61"/>
      <c r="R1380" s="61"/>
      <c r="S1380" s="61"/>
      <c r="T1380" s="61"/>
      <c r="U1380" s="61"/>
      <c r="V1380" s="61"/>
      <c r="W1380" s="61"/>
      <c r="X1380" s="61"/>
      <c r="Y1380" s="61"/>
      <c r="Z1380" s="61"/>
    </row>
    <row r="1381" ht="15.75" customHeight="1">
      <c r="A1381" s="61"/>
      <c r="B1381" s="61"/>
      <c r="C1381" s="61"/>
      <c r="D1381" s="61"/>
      <c r="E1381" s="61"/>
      <c r="F1381" s="61"/>
      <c r="G1381" s="61" t="str">
        <f>IFERROR(__xludf.DUMMYFUNCTION("""COMPUTED_VALUE"""),"")</f>
        <v/>
      </c>
      <c r="H1381" s="63"/>
      <c r="I1381" s="61"/>
      <c r="J1381" s="61"/>
      <c r="K1381" s="61"/>
      <c r="L1381" s="61"/>
      <c r="M1381" s="61"/>
      <c r="N1381" s="61"/>
      <c r="O1381" s="61"/>
      <c r="P1381" s="61"/>
      <c r="Q1381" s="61"/>
      <c r="R1381" s="61"/>
      <c r="S1381" s="61"/>
      <c r="T1381" s="61"/>
      <c r="U1381" s="61"/>
      <c r="V1381" s="61"/>
      <c r="W1381" s="61"/>
      <c r="X1381" s="61"/>
      <c r="Y1381" s="61"/>
      <c r="Z1381" s="61"/>
    </row>
    <row r="1382" ht="15.75" customHeight="1">
      <c r="A1382" s="61"/>
      <c r="B1382" s="61"/>
      <c r="C1382" s="61"/>
      <c r="D1382" s="61"/>
      <c r="E1382" s="61"/>
      <c r="F1382" s="61"/>
      <c r="G1382" s="61" t="str">
        <f>IFERROR(__xludf.DUMMYFUNCTION("""COMPUTED_VALUE"""),"")</f>
        <v/>
      </c>
      <c r="H1382" s="63"/>
      <c r="I1382" s="61"/>
      <c r="J1382" s="61"/>
      <c r="K1382" s="61"/>
      <c r="L1382" s="61"/>
      <c r="M1382" s="61"/>
      <c r="N1382" s="61"/>
      <c r="O1382" s="61"/>
      <c r="P1382" s="61"/>
      <c r="Q1382" s="61"/>
      <c r="R1382" s="61"/>
      <c r="S1382" s="61"/>
      <c r="T1382" s="61"/>
      <c r="U1382" s="61"/>
      <c r="V1382" s="61"/>
      <c r="W1382" s="61"/>
      <c r="X1382" s="61"/>
      <c r="Y1382" s="61"/>
      <c r="Z1382" s="61"/>
    </row>
    <row r="1383" ht="15.75" customHeight="1">
      <c r="A1383" s="61"/>
      <c r="B1383" s="61"/>
      <c r="C1383" s="61"/>
      <c r="D1383" s="61"/>
      <c r="E1383" s="61"/>
      <c r="F1383" s="61"/>
      <c r="G1383" s="61" t="str">
        <f>IFERROR(__xludf.DUMMYFUNCTION("""COMPUTED_VALUE"""),"")</f>
        <v/>
      </c>
      <c r="H1383" s="63"/>
      <c r="I1383" s="61"/>
      <c r="J1383" s="61"/>
      <c r="K1383" s="61"/>
      <c r="L1383" s="61"/>
      <c r="M1383" s="61"/>
      <c r="N1383" s="61"/>
      <c r="O1383" s="61"/>
      <c r="P1383" s="61"/>
      <c r="Q1383" s="61"/>
      <c r="R1383" s="61"/>
      <c r="S1383" s="61"/>
      <c r="T1383" s="61"/>
      <c r="U1383" s="61"/>
      <c r="V1383" s="61"/>
      <c r="W1383" s="61"/>
      <c r="X1383" s="61"/>
      <c r="Y1383" s="61"/>
      <c r="Z1383" s="61"/>
    </row>
    <row r="1384" ht="15.75" customHeight="1">
      <c r="A1384" s="61"/>
      <c r="B1384" s="61"/>
      <c r="C1384" s="61"/>
      <c r="D1384" s="61"/>
      <c r="E1384" s="61"/>
      <c r="F1384" s="61"/>
      <c r="G1384" s="61" t="str">
        <f>IFERROR(__xludf.DUMMYFUNCTION("""COMPUTED_VALUE"""),"")</f>
        <v/>
      </c>
      <c r="H1384" s="63"/>
      <c r="I1384" s="61"/>
      <c r="J1384" s="61"/>
      <c r="K1384" s="61"/>
      <c r="L1384" s="61"/>
      <c r="M1384" s="61"/>
      <c r="N1384" s="61"/>
      <c r="O1384" s="61"/>
      <c r="P1384" s="61"/>
      <c r="Q1384" s="61"/>
      <c r="R1384" s="61"/>
      <c r="S1384" s="61"/>
      <c r="T1384" s="61"/>
      <c r="U1384" s="61"/>
      <c r="V1384" s="61"/>
      <c r="W1384" s="61"/>
      <c r="X1384" s="61"/>
      <c r="Y1384" s="61"/>
      <c r="Z1384" s="61"/>
    </row>
    <row r="1385" ht="15.75" customHeight="1">
      <c r="A1385" s="61"/>
      <c r="B1385" s="61"/>
      <c r="C1385" s="61"/>
      <c r="D1385" s="61"/>
      <c r="E1385" s="61"/>
      <c r="F1385" s="61"/>
      <c r="G1385" s="61" t="str">
        <f>IFERROR(__xludf.DUMMYFUNCTION("""COMPUTED_VALUE"""),"")</f>
        <v/>
      </c>
      <c r="H1385" s="63"/>
      <c r="I1385" s="61"/>
      <c r="J1385" s="61"/>
      <c r="K1385" s="61"/>
      <c r="L1385" s="61"/>
      <c r="M1385" s="61"/>
      <c r="N1385" s="61"/>
      <c r="O1385" s="61"/>
      <c r="P1385" s="61"/>
      <c r="Q1385" s="61"/>
      <c r="R1385" s="61"/>
      <c r="S1385" s="61"/>
      <c r="T1385" s="61"/>
      <c r="U1385" s="61"/>
      <c r="V1385" s="61"/>
      <c r="W1385" s="61"/>
      <c r="X1385" s="61"/>
      <c r="Y1385" s="61"/>
      <c r="Z1385" s="61"/>
    </row>
    <row r="1386" ht="15.75" customHeight="1">
      <c r="A1386" s="61"/>
      <c r="B1386" s="61"/>
      <c r="C1386" s="61"/>
      <c r="D1386" s="61"/>
      <c r="E1386" s="61"/>
      <c r="F1386" s="61"/>
      <c r="G1386" s="61" t="str">
        <f>IFERROR(__xludf.DUMMYFUNCTION("""COMPUTED_VALUE"""),"")</f>
        <v/>
      </c>
      <c r="H1386" s="63"/>
      <c r="I1386" s="61"/>
      <c r="J1386" s="61"/>
      <c r="K1386" s="61"/>
      <c r="L1386" s="61"/>
      <c r="M1386" s="61"/>
      <c r="N1386" s="61"/>
      <c r="O1386" s="61"/>
      <c r="P1386" s="61"/>
      <c r="Q1386" s="61"/>
      <c r="R1386" s="61"/>
      <c r="S1386" s="61"/>
      <c r="T1386" s="61"/>
      <c r="U1386" s="61"/>
      <c r="V1386" s="61"/>
      <c r="W1386" s="61"/>
      <c r="X1386" s="61"/>
      <c r="Y1386" s="61"/>
      <c r="Z1386" s="61"/>
    </row>
    <row r="1387" ht="15.75" customHeight="1">
      <c r="A1387" s="61"/>
      <c r="B1387" s="61"/>
      <c r="C1387" s="61"/>
      <c r="D1387" s="61"/>
      <c r="E1387" s="61"/>
      <c r="F1387" s="61"/>
      <c r="G1387" s="61" t="str">
        <f>IFERROR(__xludf.DUMMYFUNCTION("""COMPUTED_VALUE"""),"")</f>
        <v/>
      </c>
      <c r="H1387" s="63"/>
      <c r="I1387" s="61"/>
      <c r="J1387" s="61"/>
      <c r="K1387" s="61"/>
      <c r="L1387" s="61"/>
      <c r="M1387" s="61"/>
      <c r="N1387" s="61"/>
      <c r="O1387" s="61"/>
      <c r="P1387" s="61"/>
      <c r="Q1387" s="61"/>
      <c r="R1387" s="61"/>
      <c r="S1387" s="61"/>
      <c r="T1387" s="61"/>
      <c r="U1387" s="61"/>
      <c r="V1387" s="61"/>
      <c r="W1387" s="61"/>
      <c r="X1387" s="61"/>
      <c r="Y1387" s="61"/>
      <c r="Z1387" s="61"/>
    </row>
    <row r="1388" ht="15.75" customHeight="1">
      <c r="A1388" s="61"/>
      <c r="B1388" s="61"/>
      <c r="C1388" s="61"/>
      <c r="D1388" s="61"/>
      <c r="E1388" s="61"/>
      <c r="F1388" s="61"/>
      <c r="G1388" s="61" t="str">
        <f>IFERROR(__xludf.DUMMYFUNCTION("""COMPUTED_VALUE"""),"")</f>
        <v/>
      </c>
      <c r="H1388" s="63"/>
      <c r="I1388" s="61"/>
      <c r="J1388" s="61"/>
      <c r="K1388" s="61"/>
      <c r="L1388" s="61"/>
      <c r="M1388" s="61"/>
      <c r="N1388" s="61"/>
      <c r="O1388" s="61"/>
      <c r="P1388" s="61"/>
      <c r="Q1388" s="61"/>
      <c r="R1388" s="61"/>
      <c r="S1388" s="61"/>
      <c r="T1388" s="61"/>
      <c r="U1388" s="61"/>
      <c r="V1388" s="61"/>
      <c r="W1388" s="61"/>
      <c r="X1388" s="61"/>
      <c r="Y1388" s="61"/>
      <c r="Z1388" s="61"/>
    </row>
    <row r="1389" ht="15.75" customHeight="1">
      <c r="A1389" s="61"/>
      <c r="B1389" s="61"/>
      <c r="C1389" s="61"/>
      <c r="D1389" s="61"/>
      <c r="E1389" s="61"/>
      <c r="F1389" s="61"/>
      <c r="G1389" s="61" t="str">
        <f>IFERROR(__xludf.DUMMYFUNCTION("""COMPUTED_VALUE"""),"")</f>
        <v/>
      </c>
      <c r="H1389" s="63"/>
      <c r="I1389" s="61"/>
      <c r="J1389" s="61"/>
      <c r="K1389" s="61"/>
      <c r="L1389" s="61"/>
      <c r="M1389" s="61"/>
      <c r="N1389" s="61"/>
      <c r="O1389" s="61"/>
      <c r="P1389" s="61"/>
      <c r="Q1389" s="61"/>
      <c r="R1389" s="61"/>
      <c r="S1389" s="61"/>
      <c r="T1389" s="61"/>
      <c r="U1389" s="61"/>
      <c r="V1389" s="61"/>
      <c r="W1389" s="61"/>
      <c r="X1389" s="61"/>
      <c r="Y1389" s="61"/>
      <c r="Z1389" s="61"/>
    </row>
    <row r="1390" ht="15.75" customHeight="1">
      <c r="A1390" s="61"/>
      <c r="B1390" s="61"/>
      <c r="C1390" s="61"/>
      <c r="D1390" s="61"/>
      <c r="E1390" s="61"/>
      <c r="F1390" s="61"/>
      <c r="G1390" s="61" t="str">
        <f>IFERROR(__xludf.DUMMYFUNCTION("""COMPUTED_VALUE"""),"")</f>
        <v/>
      </c>
      <c r="H1390" s="63"/>
      <c r="I1390" s="61"/>
      <c r="J1390" s="61"/>
      <c r="K1390" s="61"/>
      <c r="L1390" s="61"/>
      <c r="M1390" s="61"/>
      <c r="N1390" s="61"/>
      <c r="O1390" s="61"/>
      <c r="P1390" s="61"/>
      <c r="Q1390" s="61"/>
      <c r="R1390" s="61"/>
      <c r="S1390" s="61"/>
      <c r="T1390" s="61"/>
      <c r="U1390" s="61"/>
      <c r="V1390" s="61"/>
      <c r="W1390" s="61"/>
      <c r="X1390" s="61"/>
      <c r="Y1390" s="61"/>
      <c r="Z1390" s="61"/>
    </row>
    <row r="1391" ht="15.75" customHeight="1">
      <c r="A1391" s="61"/>
      <c r="B1391" s="61"/>
      <c r="C1391" s="61"/>
      <c r="D1391" s="61"/>
      <c r="E1391" s="61"/>
      <c r="F1391" s="61"/>
      <c r="G1391" s="61" t="str">
        <f>IFERROR(__xludf.DUMMYFUNCTION("""COMPUTED_VALUE"""),"")</f>
        <v/>
      </c>
      <c r="H1391" s="63"/>
      <c r="I1391" s="61"/>
      <c r="J1391" s="61"/>
      <c r="K1391" s="61"/>
      <c r="L1391" s="61"/>
      <c r="M1391" s="61"/>
      <c r="N1391" s="61"/>
      <c r="O1391" s="61"/>
      <c r="P1391" s="61"/>
      <c r="Q1391" s="61"/>
      <c r="R1391" s="61"/>
      <c r="S1391" s="61"/>
      <c r="T1391" s="61"/>
      <c r="U1391" s="61"/>
      <c r="V1391" s="61"/>
      <c r="W1391" s="61"/>
      <c r="X1391" s="61"/>
      <c r="Y1391" s="61"/>
      <c r="Z1391" s="61"/>
    </row>
    <row r="1392" ht="15.75" customHeight="1">
      <c r="A1392" s="61"/>
      <c r="B1392" s="61"/>
      <c r="C1392" s="61"/>
      <c r="D1392" s="61"/>
      <c r="E1392" s="61"/>
      <c r="F1392" s="61"/>
      <c r="G1392" s="61" t="str">
        <f>IFERROR(__xludf.DUMMYFUNCTION("""COMPUTED_VALUE"""),"")</f>
        <v/>
      </c>
      <c r="H1392" s="63"/>
      <c r="I1392" s="61"/>
      <c r="J1392" s="61"/>
      <c r="K1392" s="61"/>
      <c r="L1392" s="61"/>
      <c r="M1392" s="61"/>
      <c r="N1392" s="61"/>
      <c r="O1392" s="61"/>
      <c r="P1392" s="61"/>
      <c r="Q1392" s="61"/>
      <c r="R1392" s="61"/>
      <c r="S1392" s="61"/>
      <c r="T1392" s="61"/>
      <c r="U1392" s="61"/>
      <c r="V1392" s="61"/>
      <c r="W1392" s="61"/>
      <c r="X1392" s="61"/>
      <c r="Y1392" s="61"/>
      <c r="Z1392" s="61"/>
    </row>
    <row r="1393" ht="15.75" customHeight="1">
      <c r="A1393" s="61"/>
      <c r="B1393" s="61"/>
      <c r="C1393" s="61"/>
      <c r="D1393" s="61"/>
      <c r="E1393" s="61"/>
      <c r="F1393" s="61"/>
      <c r="G1393" s="61" t="str">
        <f>IFERROR(__xludf.DUMMYFUNCTION("""COMPUTED_VALUE"""),"")</f>
        <v/>
      </c>
      <c r="H1393" s="63"/>
      <c r="I1393" s="61"/>
      <c r="J1393" s="61"/>
      <c r="K1393" s="61"/>
      <c r="L1393" s="61"/>
      <c r="M1393" s="61"/>
      <c r="N1393" s="61"/>
      <c r="O1393" s="61"/>
      <c r="P1393" s="61"/>
      <c r="Q1393" s="61"/>
      <c r="R1393" s="61"/>
      <c r="S1393" s="61"/>
      <c r="T1393" s="61"/>
      <c r="U1393" s="61"/>
      <c r="V1393" s="61"/>
      <c r="W1393" s="61"/>
      <c r="X1393" s="61"/>
      <c r="Y1393" s="61"/>
      <c r="Z1393" s="61"/>
    </row>
    <row r="1394" ht="15.75" customHeight="1">
      <c r="A1394" s="61"/>
      <c r="B1394" s="61"/>
      <c r="C1394" s="61"/>
      <c r="D1394" s="61"/>
      <c r="E1394" s="61"/>
      <c r="F1394" s="61"/>
      <c r="G1394" s="61" t="str">
        <f>IFERROR(__xludf.DUMMYFUNCTION("""COMPUTED_VALUE"""),"")</f>
        <v/>
      </c>
      <c r="H1394" s="63"/>
      <c r="I1394" s="61"/>
      <c r="J1394" s="61"/>
      <c r="K1394" s="61"/>
      <c r="L1394" s="61"/>
      <c r="M1394" s="61"/>
      <c r="N1394" s="61"/>
      <c r="O1394" s="61"/>
      <c r="P1394" s="61"/>
      <c r="Q1394" s="61"/>
      <c r="R1394" s="61"/>
      <c r="S1394" s="61"/>
      <c r="T1394" s="61"/>
      <c r="U1394" s="61"/>
      <c r="V1394" s="61"/>
      <c r="W1394" s="61"/>
      <c r="X1394" s="61"/>
      <c r="Y1394" s="61"/>
      <c r="Z1394" s="61"/>
    </row>
    <row r="1395" ht="15.75" customHeight="1">
      <c r="A1395" s="61"/>
      <c r="B1395" s="61"/>
      <c r="C1395" s="61"/>
      <c r="D1395" s="61"/>
      <c r="E1395" s="61"/>
      <c r="F1395" s="61"/>
      <c r="G1395" s="61" t="str">
        <f>IFERROR(__xludf.DUMMYFUNCTION("""COMPUTED_VALUE"""),"")</f>
        <v/>
      </c>
      <c r="H1395" s="63"/>
      <c r="I1395" s="61"/>
      <c r="J1395" s="61"/>
      <c r="K1395" s="61"/>
      <c r="L1395" s="61"/>
      <c r="M1395" s="61"/>
      <c r="N1395" s="61"/>
      <c r="O1395" s="61"/>
      <c r="P1395" s="61"/>
      <c r="Q1395" s="61"/>
      <c r="R1395" s="61"/>
      <c r="S1395" s="61"/>
      <c r="T1395" s="61"/>
      <c r="U1395" s="61"/>
      <c r="V1395" s="61"/>
      <c r="W1395" s="61"/>
      <c r="X1395" s="61"/>
      <c r="Y1395" s="61"/>
      <c r="Z1395" s="61"/>
    </row>
    <row r="1396" ht="15.75" customHeight="1">
      <c r="A1396" s="61"/>
      <c r="B1396" s="61"/>
      <c r="C1396" s="61"/>
      <c r="D1396" s="61"/>
      <c r="E1396" s="61"/>
      <c r="F1396" s="61"/>
      <c r="G1396" s="61" t="str">
        <f>IFERROR(__xludf.DUMMYFUNCTION("""COMPUTED_VALUE"""),"")</f>
        <v/>
      </c>
      <c r="H1396" s="63"/>
      <c r="I1396" s="61"/>
      <c r="J1396" s="61"/>
      <c r="K1396" s="61"/>
      <c r="L1396" s="61"/>
      <c r="M1396" s="61"/>
      <c r="N1396" s="61"/>
      <c r="O1396" s="61"/>
      <c r="P1396" s="61"/>
      <c r="Q1396" s="61"/>
      <c r="R1396" s="61"/>
      <c r="S1396" s="61"/>
      <c r="T1396" s="61"/>
      <c r="U1396" s="61"/>
      <c r="V1396" s="61"/>
      <c r="W1396" s="61"/>
      <c r="X1396" s="61"/>
      <c r="Y1396" s="61"/>
      <c r="Z1396" s="61"/>
    </row>
    <row r="1397" ht="15.75" customHeight="1">
      <c r="A1397" s="61"/>
      <c r="B1397" s="61"/>
      <c r="C1397" s="61"/>
      <c r="D1397" s="61"/>
      <c r="E1397" s="61"/>
      <c r="F1397" s="61"/>
      <c r="G1397" s="61" t="str">
        <f>IFERROR(__xludf.DUMMYFUNCTION("""COMPUTED_VALUE"""),"")</f>
        <v/>
      </c>
      <c r="H1397" s="63"/>
      <c r="I1397" s="61"/>
      <c r="J1397" s="61"/>
      <c r="K1397" s="61"/>
      <c r="L1397" s="61"/>
      <c r="M1397" s="61"/>
      <c r="N1397" s="61"/>
      <c r="O1397" s="61"/>
      <c r="P1397" s="61"/>
      <c r="Q1397" s="61"/>
      <c r="R1397" s="61"/>
      <c r="S1397" s="61"/>
      <c r="T1397" s="61"/>
      <c r="U1397" s="61"/>
      <c r="V1397" s="61"/>
      <c r="W1397" s="61"/>
      <c r="X1397" s="61"/>
      <c r="Y1397" s="61"/>
      <c r="Z1397" s="61"/>
    </row>
    <row r="1398" ht="15.75" customHeight="1">
      <c r="A1398" s="61"/>
      <c r="B1398" s="61"/>
      <c r="C1398" s="61"/>
      <c r="D1398" s="61"/>
      <c r="E1398" s="61"/>
      <c r="F1398" s="61"/>
      <c r="G1398" s="61" t="str">
        <f>IFERROR(__xludf.DUMMYFUNCTION("""COMPUTED_VALUE"""),"")</f>
        <v/>
      </c>
      <c r="H1398" s="63"/>
      <c r="I1398" s="61"/>
      <c r="J1398" s="61"/>
      <c r="K1398" s="61"/>
      <c r="L1398" s="61"/>
      <c r="M1398" s="61"/>
      <c r="N1398" s="61"/>
      <c r="O1398" s="61"/>
      <c r="P1398" s="61"/>
      <c r="Q1398" s="61"/>
      <c r="R1398" s="61"/>
      <c r="S1398" s="61"/>
      <c r="T1398" s="61"/>
      <c r="U1398" s="61"/>
      <c r="V1398" s="61"/>
      <c r="W1398" s="61"/>
      <c r="X1398" s="61"/>
      <c r="Y1398" s="61"/>
      <c r="Z1398" s="61"/>
    </row>
    <row r="1399" ht="15.75" customHeight="1">
      <c r="A1399" s="61"/>
      <c r="B1399" s="61"/>
      <c r="C1399" s="61"/>
      <c r="D1399" s="61"/>
      <c r="E1399" s="61"/>
      <c r="F1399" s="61"/>
      <c r="G1399" s="61" t="str">
        <f>IFERROR(__xludf.DUMMYFUNCTION("""COMPUTED_VALUE"""),"")</f>
        <v/>
      </c>
      <c r="H1399" s="63"/>
      <c r="I1399" s="61"/>
      <c r="J1399" s="61"/>
      <c r="K1399" s="61"/>
      <c r="L1399" s="61"/>
      <c r="M1399" s="61"/>
      <c r="N1399" s="61"/>
      <c r="O1399" s="61"/>
      <c r="P1399" s="61"/>
      <c r="Q1399" s="61"/>
      <c r="R1399" s="61"/>
      <c r="S1399" s="61"/>
      <c r="T1399" s="61"/>
      <c r="U1399" s="61"/>
      <c r="V1399" s="61"/>
      <c r="W1399" s="61"/>
      <c r="X1399" s="61"/>
      <c r="Y1399" s="61"/>
      <c r="Z1399" s="61"/>
    </row>
    <row r="1400" ht="15.75" customHeight="1">
      <c r="A1400" s="61"/>
      <c r="B1400" s="61"/>
      <c r="C1400" s="61"/>
      <c r="D1400" s="61"/>
      <c r="E1400" s="61"/>
      <c r="F1400" s="61"/>
      <c r="G1400" s="61" t="str">
        <f>IFERROR(__xludf.DUMMYFUNCTION("""COMPUTED_VALUE"""),"")</f>
        <v/>
      </c>
      <c r="H1400" s="63"/>
      <c r="I1400" s="61"/>
      <c r="J1400" s="61"/>
      <c r="K1400" s="61"/>
      <c r="L1400" s="61"/>
      <c r="M1400" s="61"/>
      <c r="N1400" s="61"/>
      <c r="O1400" s="61"/>
      <c r="P1400" s="61"/>
      <c r="Q1400" s="61"/>
      <c r="R1400" s="61"/>
      <c r="S1400" s="61"/>
      <c r="T1400" s="61"/>
      <c r="U1400" s="61"/>
      <c r="V1400" s="61"/>
      <c r="W1400" s="61"/>
      <c r="X1400" s="61"/>
      <c r="Y1400" s="61"/>
      <c r="Z1400" s="61"/>
    </row>
    <row r="1401" ht="15.75" customHeight="1">
      <c r="A1401" s="61"/>
      <c r="B1401" s="61"/>
      <c r="C1401" s="61"/>
      <c r="D1401" s="61"/>
      <c r="E1401" s="61"/>
      <c r="F1401" s="61"/>
      <c r="G1401" s="61" t="str">
        <f>IFERROR(__xludf.DUMMYFUNCTION("""COMPUTED_VALUE"""),"")</f>
        <v/>
      </c>
      <c r="H1401" s="63"/>
      <c r="I1401" s="61"/>
      <c r="J1401" s="61"/>
      <c r="K1401" s="61"/>
      <c r="L1401" s="61"/>
      <c r="M1401" s="61"/>
      <c r="N1401" s="61"/>
      <c r="O1401" s="61"/>
      <c r="P1401" s="61"/>
      <c r="Q1401" s="61"/>
      <c r="R1401" s="61"/>
      <c r="S1401" s="61"/>
      <c r="T1401" s="61"/>
      <c r="U1401" s="61"/>
      <c r="V1401" s="61"/>
      <c r="W1401" s="61"/>
      <c r="X1401" s="61"/>
      <c r="Y1401" s="61"/>
      <c r="Z1401" s="61"/>
    </row>
    <row r="1402" ht="15.75" customHeight="1">
      <c r="A1402" s="61"/>
      <c r="B1402" s="61"/>
      <c r="C1402" s="61"/>
      <c r="D1402" s="61"/>
      <c r="E1402" s="61"/>
      <c r="F1402" s="61"/>
      <c r="G1402" s="61" t="str">
        <f>IFERROR(__xludf.DUMMYFUNCTION("""COMPUTED_VALUE"""),"")</f>
        <v/>
      </c>
      <c r="H1402" s="63"/>
      <c r="I1402" s="61"/>
      <c r="J1402" s="61"/>
      <c r="K1402" s="61"/>
      <c r="L1402" s="61"/>
      <c r="M1402" s="61"/>
      <c r="N1402" s="61"/>
      <c r="O1402" s="61"/>
      <c r="P1402" s="61"/>
      <c r="Q1402" s="61"/>
      <c r="R1402" s="61"/>
      <c r="S1402" s="61"/>
      <c r="T1402" s="61"/>
      <c r="U1402" s="61"/>
      <c r="V1402" s="61"/>
      <c r="W1402" s="61"/>
      <c r="X1402" s="61"/>
      <c r="Y1402" s="61"/>
      <c r="Z1402" s="61"/>
    </row>
    <row r="1403" ht="15.75" customHeight="1">
      <c r="A1403" s="61"/>
      <c r="B1403" s="61"/>
      <c r="C1403" s="61"/>
      <c r="D1403" s="61"/>
      <c r="E1403" s="61"/>
      <c r="F1403" s="61"/>
      <c r="G1403" s="61" t="str">
        <f>IFERROR(__xludf.DUMMYFUNCTION("""COMPUTED_VALUE"""),"")</f>
        <v/>
      </c>
      <c r="H1403" s="63"/>
      <c r="I1403" s="61"/>
      <c r="J1403" s="61"/>
      <c r="K1403" s="61"/>
      <c r="L1403" s="61"/>
      <c r="M1403" s="61"/>
      <c r="N1403" s="61"/>
      <c r="O1403" s="61"/>
      <c r="P1403" s="61"/>
      <c r="Q1403" s="61"/>
      <c r="R1403" s="61"/>
      <c r="S1403" s="61"/>
      <c r="T1403" s="61"/>
      <c r="U1403" s="61"/>
      <c r="V1403" s="61"/>
      <c r="W1403" s="61"/>
      <c r="X1403" s="61"/>
      <c r="Y1403" s="61"/>
      <c r="Z1403" s="61"/>
    </row>
    <row r="1404" ht="15.75" customHeight="1">
      <c r="A1404" s="61"/>
      <c r="B1404" s="61"/>
      <c r="C1404" s="61"/>
      <c r="D1404" s="61"/>
      <c r="E1404" s="61"/>
      <c r="F1404" s="61"/>
      <c r="G1404" s="61" t="str">
        <f>IFERROR(__xludf.DUMMYFUNCTION("""COMPUTED_VALUE"""),"")</f>
        <v/>
      </c>
      <c r="H1404" s="63"/>
      <c r="I1404" s="61"/>
      <c r="J1404" s="61"/>
      <c r="K1404" s="61"/>
      <c r="L1404" s="61"/>
      <c r="M1404" s="61"/>
      <c r="N1404" s="61"/>
      <c r="O1404" s="61"/>
      <c r="P1404" s="61"/>
      <c r="Q1404" s="61"/>
      <c r="R1404" s="61"/>
      <c r="S1404" s="61"/>
      <c r="T1404" s="61"/>
      <c r="U1404" s="61"/>
      <c r="V1404" s="61"/>
      <c r="W1404" s="61"/>
      <c r="X1404" s="61"/>
      <c r="Y1404" s="61"/>
      <c r="Z1404" s="61"/>
    </row>
    <row r="1405" ht="15.75" customHeight="1">
      <c r="A1405" s="61"/>
      <c r="B1405" s="61"/>
      <c r="C1405" s="61"/>
      <c r="D1405" s="61"/>
      <c r="E1405" s="61"/>
      <c r="F1405" s="61"/>
      <c r="G1405" s="61" t="str">
        <f>IFERROR(__xludf.DUMMYFUNCTION("""COMPUTED_VALUE"""),"")</f>
        <v/>
      </c>
      <c r="H1405" s="63"/>
      <c r="I1405" s="61"/>
      <c r="J1405" s="61"/>
      <c r="K1405" s="61"/>
      <c r="L1405" s="61"/>
      <c r="M1405" s="61"/>
      <c r="N1405" s="61"/>
      <c r="O1405" s="61"/>
      <c r="P1405" s="61"/>
      <c r="Q1405" s="61"/>
      <c r="R1405" s="61"/>
      <c r="S1405" s="61"/>
      <c r="T1405" s="61"/>
      <c r="U1405" s="61"/>
      <c r="V1405" s="61"/>
      <c r="W1405" s="61"/>
      <c r="X1405" s="61"/>
      <c r="Y1405" s="61"/>
      <c r="Z1405" s="61"/>
    </row>
    <row r="1406" ht="15.75" customHeight="1">
      <c r="A1406" s="61"/>
      <c r="B1406" s="61"/>
      <c r="C1406" s="61"/>
      <c r="D1406" s="61"/>
      <c r="E1406" s="61"/>
      <c r="F1406" s="61"/>
      <c r="G1406" s="61" t="str">
        <f>IFERROR(__xludf.DUMMYFUNCTION("""COMPUTED_VALUE"""),"")</f>
        <v/>
      </c>
      <c r="H1406" s="63"/>
      <c r="I1406" s="61"/>
      <c r="J1406" s="61"/>
      <c r="K1406" s="61"/>
      <c r="L1406" s="61"/>
      <c r="M1406" s="61"/>
      <c r="N1406" s="61"/>
      <c r="O1406" s="61"/>
      <c r="P1406" s="61"/>
      <c r="Q1406" s="61"/>
      <c r="R1406" s="61"/>
      <c r="S1406" s="61"/>
      <c r="T1406" s="61"/>
      <c r="U1406" s="61"/>
      <c r="V1406" s="61"/>
      <c r="W1406" s="61"/>
      <c r="X1406" s="61"/>
      <c r="Y1406" s="61"/>
      <c r="Z1406" s="61"/>
    </row>
    <row r="1407" ht="15.75" customHeight="1">
      <c r="A1407" s="61"/>
      <c r="B1407" s="61"/>
      <c r="C1407" s="61"/>
      <c r="D1407" s="61"/>
      <c r="E1407" s="61"/>
      <c r="F1407" s="61"/>
      <c r="G1407" s="61" t="str">
        <f>IFERROR(__xludf.DUMMYFUNCTION("""COMPUTED_VALUE"""),"")</f>
        <v/>
      </c>
      <c r="H1407" s="63"/>
      <c r="I1407" s="61"/>
      <c r="J1407" s="61"/>
      <c r="K1407" s="61"/>
      <c r="L1407" s="61"/>
      <c r="M1407" s="61"/>
      <c r="N1407" s="61"/>
      <c r="O1407" s="61"/>
      <c r="P1407" s="61"/>
      <c r="Q1407" s="61"/>
      <c r="R1407" s="61"/>
      <c r="S1407" s="61"/>
      <c r="T1407" s="61"/>
      <c r="U1407" s="61"/>
      <c r="V1407" s="61"/>
      <c r="W1407" s="61"/>
      <c r="X1407" s="61"/>
      <c r="Y1407" s="61"/>
      <c r="Z1407" s="61"/>
    </row>
    <row r="1408" ht="15.75" customHeight="1">
      <c r="A1408" s="61"/>
      <c r="B1408" s="61"/>
      <c r="C1408" s="61"/>
      <c r="D1408" s="61"/>
      <c r="E1408" s="61"/>
      <c r="F1408" s="61"/>
      <c r="G1408" s="61" t="str">
        <f>IFERROR(__xludf.DUMMYFUNCTION("""COMPUTED_VALUE"""),"")</f>
        <v/>
      </c>
      <c r="H1408" s="63"/>
      <c r="I1408" s="61"/>
      <c r="J1408" s="61"/>
      <c r="K1408" s="61"/>
      <c r="L1408" s="61"/>
      <c r="M1408" s="61"/>
      <c r="N1408" s="61"/>
      <c r="O1408" s="61"/>
      <c r="P1408" s="61"/>
      <c r="Q1408" s="61"/>
      <c r="R1408" s="61"/>
      <c r="S1408" s="61"/>
      <c r="T1408" s="61"/>
      <c r="U1408" s="61"/>
      <c r="V1408" s="61"/>
      <c r="W1408" s="61"/>
      <c r="X1408" s="61"/>
      <c r="Y1408" s="61"/>
      <c r="Z1408" s="61"/>
    </row>
    <row r="1409" ht="15.75" customHeight="1">
      <c r="A1409" s="61"/>
      <c r="B1409" s="61"/>
      <c r="C1409" s="61"/>
      <c r="D1409" s="61"/>
      <c r="E1409" s="61"/>
      <c r="F1409" s="61"/>
      <c r="G1409" s="61" t="str">
        <f>IFERROR(__xludf.DUMMYFUNCTION("""COMPUTED_VALUE"""),"")</f>
        <v/>
      </c>
      <c r="H1409" s="63"/>
      <c r="I1409" s="61"/>
      <c r="J1409" s="61"/>
      <c r="K1409" s="61"/>
      <c r="L1409" s="61"/>
      <c r="M1409" s="61"/>
      <c r="N1409" s="61"/>
      <c r="O1409" s="61"/>
      <c r="P1409" s="61"/>
      <c r="Q1409" s="61"/>
      <c r="R1409" s="61"/>
      <c r="S1409" s="61"/>
      <c r="T1409" s="61"/>
      <c r="U1409" s="61"/>
      <c r="V1409" s="61"/>
      <c r="W1409" s="61"/>
      <c r="X1409" s="61"/>
      <c r="Y1409" s="61"/>
      <c r="Z1409" s="61"/>
    </row>
    <row r="1410" ht="15.75" customHeight="1">
      <c r="A1410" s="61"/>
      <c r="B1410" s="61"/>
      <c r="C1410" s="61"/>
      <c r="D1410" s="61"/>
      <c r="E1410" s="61"/>
      <c r="F1410" s="61"/>
      <c r="G1410" s="61" t="str">
        <f>IFERROR(__xludf.DUMMYFUNCTION("""COMPUTED_VALUE"""),"")</f>
        <v/>
      </c>
      <c r="H1410" s="63"/>
      <c r="I1410" s="61"/>
      <c r="J1410" s="61"/>
      <c r="K1410" s="61"/>
      <c r="L1410" s="61"/>
      <c r="M1410" s="61"/>
      <c r="N1410" s="61"/>
      <c r="O1410" s="61"/>
      <c r="P1410" s="61"/>
      <c r="Q1410" s="61"/>
      <c r="R1410" s="61"/>
      <c r="S1410" s="61"/>
      <c r="T1410" s="61"/>
      <c r="U1410" s="61"/>
      <c r="V1410" s="61"/>
      <c r="W1410" s="61"/>
      <c r="X1410" s="61"/>
      <c r="Y1410" s="61"/>
      <c r="Z1410" s="61"/>
    </row>
    <row r="1411" ht="15.75" customHeight="1">
      <c r="A1411" s="61"/>
      <c r="B1411" s="61"/>
      <c r="C1411" s="61"/>
      <c r="D1411" s="61"/>
      <c r="E1411" s="61"/>
      <c r="F1411" s="61"/>
      <c r="G1411" s="61" t="str">
        <f>IFERROR(__xludf.DUMMYFUNCTION("""COMPUTED_VALUE"""),"")</f>
        <v/>
      </c>
      <c r="H1411" s="63"/>
      <c r="I1411" s="61"/>
      <c r="J1411" s="61"/>
      <c r="K1411" s="61"/>
      <c r="L1411" s="61"/>
      <c r="M1411" s="61"/>
      <c r="N1411" s="61"/>
      <c r="O1411" s="61"/>
      <c r="P1411" s="61"/>
      <c r="Q1411" s="61"/>
      <c r="R1411" s="61"/>
      <c r="S1411" s="61"/>
      <c r="T1411" s="61"/>
      <c r="U1411" s="61"/>
      <c r="V1411" s="61"/>
      <c r="W1411" s="61"/>
      <c r="X1411" s="61"/>
      <c r="Y1411" s="61"/>
      <c r="Z1411" s="61"/>
    </row>
    <row r="1412" ht="15.75" customHeight="1">
      <c r="A1412" s="61"/>
      <c r="B1412" s="61"/>
      <c r="C1412" s="61"/>
      <c r="D1412" s="61"/>
      <c r="E1412" s="61"/>
      <c r="F1412" s="61"/>
      <c r="G1412" s="61" t="str">
        <f>IFERROR(__xludf.DUMMYFUNCTION("""COMPUTED_VALUE"""),"")</f>
        <v/>
      </c>
      <c r="H1412" s="63"/>
      <c r="I1412" s="61"/>
      <c r="J1412" s="61"/>
      <c r="K1412" s="61"/>
      <c r="L1412" s="61"/>
      <c r="M1412" s="61"/>
      <c r="N1412" s="61"/>
      <c r="O1412" s="61"/>
      <c r="P1412" s="61"/>
      <c r="Q1412" s="61"/>
      <c r="R1412" s="61"/>
      <c r="S1412" s="61"/>
      <c r="T1412" s="61"/>
      <c r="U1412" s="61"/>
      <c r="V1412" s="61"/>
      <c r="W1412" s="61"/>
      <c r="X1412" s="61"/>
      <c r="Y1412" s="61"/>
      <c r="Z1412" s="61"/>
    </row>
    <row r="1413" ht="15.75" customHeight="1">
      <c r="A1413" s="61"/>
      <c r="B1413" s="61"/>
      <c r="C1413" s="61"/>
      <c r="D1413" s="61"/>
      <c r="E1413" s="61"/>
      <c r="F1413" s="61"/>
      <c r="G1413" s="61" t="str">
        <f>IFERROR(__xludf.DUMMYFUNCTION("""COMPUTED_VALUE"""),"")</f>
        <v/>
      </c>
      <c r="H1413" s="63"/>
      <c r="I1413" s="61"/>
      <c r="J1413" s="61"/>
      <c r="K1413" s="61"/>
      <c r="L1413" s="61"/>
      <c r="M1413" s="61"/>
      <c r="N1413" s="61"/>
      <c r="O1413" s="61"/>
      <c r="P1413" s="61"/>
      <c r="Q1413" s="61"/>
      <c r="R1413" s="61"/>
      <c r="S1413" s="61"/>
      <c r="T1413" s="61"/>
      <c r="U1413" s="61"/>
      <c r="V1413" s="61"/>
      <c r="W1413" s="61"/>
      <c r="X1413" s="61"/>
      <c r="Y1413" s="61"/>
      <c r="Z1413" s="61"/>
    </row>
    <row r="1414" ht="15.75" customHeight="1">
      <c r="A1414" s="61"/>
      <c r="B1414" s="61"/>
      <c r="C1414" s="61"/>
      <c r="D1414" s="61"/>
      <c r="E1414" s="61"/>
      <c r="F1414" s="61"/>
      <c r="G1414" s="61" t="str">
        <f>IFERROR(__xludf.DUMMYFUNCTION("""COMPUTED_VALUE"""),"")</f>
        <v/>
      </c>
      <c r="H1414" s="63"/>
      <c r="I1414" s="61"/>
      <c r="J1414" s="61"/>
      <c r="K1414" s="61"/>
      <c r="L1414" s="61"/>
      <c r="M1414" s="61"/>
      <c r="N1414" s="61"/>
      <c r="O1414" s="61"/>
      <c r="P1414" s="61"/>
      <c r="Q1414" s="61"/>
      <c r="R1414" s="61"/>
      <c r="S1414" s="61"/>
      <c r="T1414" s="61"/>
      <c r="U1414" s="61"/>
      <c r="V1414" s="61"/>
      <c r="W1414" s="61"/>
      <c r="X1414" s="61"/>
      <c r="Y1414" s="61"/>
      <c r="Z1414" s="61"/>
    </row>
    <row r="1415" ht="15.75" customHeight="1">
      <c r="A1415" s="61"/>
      <c r="B1415" s="61"/>
      <c r="C1415" s="61"/>
      <c r="D1415" s="61"/>
      <c r="E1415" s="61"/>
      <c r="F1415" s="61"/>
      <c r="G1415" s="61" t="str">
        <f>IFERROR(__xludf.DUMMYFUNCTION("""COMPUTED_VALUE"""),"")</f>
        <v/>
      </c>
      <c r="H1415" s="63"/>
      <c r="I1415" s="61"/>
      <c r="J1415" s="61"/>
      <c r="K1415" s="61"/>
      <c r="L1415" s="61"/>
      <c r="M1415" s="61"/>
      <c r="N1415" s="61"/>
      <c r="O1415" s="61"/>
      <c r="P1415" s="61"/>
      <c r="Q1415" s="61"/>
      <c r="R1415" s="61"/>
      <c r="S1415" s="61"/>
      <c r="T1415" s="61"/>
      <c r="U1415" s="61"/>
      <c r="V1415" s="61"/>
      <c r="W1415" s="61"/>
      <c r="X1415" s="61"/>
      <c r="Y1415" s="61"/>
      <c r="Z1415" s="61"/>
    </row>
    <row r="1416" ht="15.75" customHeight="1">
      <c r="A1416" s="61"/>
      <c r="B1416" s="61"/>
      <c r="C1416" s="61"/>
      <c r="D1416" s="61"/>
      <c r="E1416" s="61"/>
      <c r="F1416" s="61"/>
      <c r="G1416" s="61" t="str">
        <f>IFERROR(__xludf.DUMMYFUNCTION("""COMPUTED_VALUE"""),"")</f>
        <v/>
      </c>
      <c r="H1416" s="63"/>
      <c r="I1416" s="61"/>
      <c r="J1416" s="61"/>
      <c r="K1416" s="61"/>
      <c r="L1416" s="61"/>
      <c r="M1416" s="61"/>
      <c r="N1416" s="61"/>
      <c r="O1416" s="61"/>
      <c r="P1416" s="61"/>
      <c r="Q1416" s="61"/>
      <c r="R1416" s="61"/>
      <c r="S1416" s="61"/>
      <c r="T1416" s="61"/>
      <c r="U1416" s="61"/>
      <c r="V1416" s="61"/>
      <c r="W1416" s="61"/>
      <c r="X1416" s="61"/>
      <c r="Y1416" s="61"/>
      <c r="Z1416" s="61"/>
    </row>
    <row r="1417" ht="15.75" customHeight="1">
      <c r="A1417" s="61"/>
      <c r="B1417" s="61"/>
      <c r="C1417" s="61"/>
      <c r="D1417" s="61"/>
      <c r="E1417" s="61"/>
      <c r="F1417" s="61"/>
      <c r="G1417" s="61" t="str">
        <f>IFERROR(__xludf.DUMMYFUNCTION("""COMPUTED_VALUE"""),"")</f>
        <v/>
      </c>
      <c r="H1417" s="63"/>
      <c r="I1417" s="61"/>
      <c r="J1417" s="61"/>
      <c r="K1417" s="61"/>
      <c r="L1417" s="61"/>
      <c r="M1417" s="61"/>
      <c r="N1417" s="61"/>
      <c r="O1417" s="61"/>
      <c r="P1417" s="61"/>
      <c r="Q1417" s="61"/>
      <c r="R1417" s="61"/>
      <c r="S1417" s="61"/>
      <c r="T1417" s="61"/>
      <c r="U1417" s="61"/>
      <c r="V1417" s="61"/>
      <c r="W1417" s="61"/>
      <c r="X1417" s="61"/>
      <c r="Y1417" s="61"/>
      <c r="Z1417" s="61"/>
    </row>
    <row r="1418" ht="15.75" customHeight="1">
      <c r="A1418" s="61"/>
      <c r="B1418" s="61"/>
      <c r="C1418" s="61"/>
      <c r="D1418" s="61"/>
      <c r="E1418" s="61"/>
      <c r="F1418" s="61"/>
      <c r="G1418" s="61" t="str">
        <f>IFERROR(__xludf.DUMMYFUNCTION("""COMPUTED_VALUE"""),"")</f>
        <v/>
      </c>
      <c r="H1418" s="63"/>
      <c r="I1418" s="61"/>
      <c r="J1418" s="61"/>
      <c r="K1418" s="61"/>
      <c r="L1418" s="61"/>
      <c r="M1418" s="61"/>
      <c r="N1418" s="61"/>
      <c r="O1418" s="61"/>
      <c r="P1418" s="61"/>
      <c r="Q1418" s="61"/>
      <c r="R1418" s="61"/>
      <c r="S1418" s="61"/>
      <c r="T1418" s="61"/>
      <c r="U1418" s="61"/>
      <c r="V1418" s="61"/>
      <c r="W1418" s="61"/>
      <c r="X1418" s="61"/>
      <c r="Y1418" s="61"/>
      <c r="Z1418" s="61"/>
    </row>
    <row r="1419" ht="15.75" customHeight="1">
      <c r="A1419" s="61"/>
      <c r="B1419" s="61"/>
      <c r="C1419" s="61"/>
      <c r="D1419" s="61"/>
      <c r="E1419" s="61"/>
      <c r="F1419" s="61"/>
      <c r="G1419" s="61" t="str">
        <f>IFERROR(__xludf.DUMMYFUNCTION("""COMPUTED_VALUE"""),"")</f>
        <v/>
      </c>
      <c r="H1419" s="63"/>
      <c r="I1419" s="61"/>
      <c r="J1419" s="61"/>
      <c r="K1419" s="61"/>
      <c r="L1419" s="61"/>
      <c r="M1419" s="61"/>
      <c r="N1419" s="61"/>
      <c r="O1419" s="61"/>
      <c r="P1419" s="61"/>
      <c r="Q1419" s="61"/>
      <c r="R1419" s="61"/>
      <c r="S1419" s="61"/>
      <c r="T1419" s="61"/>
      <c r="U1419" s="61"/>
      <c r="V1419" s="61"/>
      <c r="W1419" s="61"/>
      <c r="X1419" s="61"/>
      <c r="Y1419" s="61"/>
      <c r="Z1419" s="61"/>
    </row>
    <row r="1420" ht="15.75" customHeight="1">
      <c r="A1420" s="61"/>
      <c r="B1420" s="61"/>
      <c r="C1420" s="61"/>
      <c r="D1420" s="61"/>
      <c r="E1420" s="61"/>
      <c r="F1420" s="61"/>
      <c r="G1420" s="61" t="str">
        <f>IFERROR(__xludf.DUMMYFUNCTION("""COMPUTED_VALUE"""),"")</f>
        <v/>
      </c>
      <c r="H1420" s="63"/>
      <c r="I1420" s="61"/>
      <c r="J1420" s="61"/>
      <c r="K1420" s="61"/>
      <c r="L1420" s="61"/>
      <c r="M1420" s="61"/>
      <c r="N1420" s="61"/>
      <c r="O1420" s="61"/>
      <c r="P1420" s="61"/>
      <c r="Q1420" s="61"/>
      <c r="R1420" s="61"/>
      <c r="S1420" s="61"/>
      <c r="T1420" s="61"/>
      <c r="U1420" s="61"/>
      <c r="V1420" s="61"/>
      <c r="W1420" s="61"/>
      <c r="X1420" s="61"/>
      <c r="Y1420" s="61"/>
      <c r="Z1420" s="61"/>
    </row>
    <row r="1421" ht="15.75" customHeight="1">
      <c r="A1421" s="61"/>
      <c r="B1421" s="61"/>
      <c r="C1421" s="61"/>
      <c r="D1421" s="61"/>
      <c r="E1421" s="61"/>
      <c r="F1421" s="61"/>
      <c r="G1421" s="61" t="str">
        <f>IFERROR(__xludf.DUMMYFUNCTION("""COMPUTED_VALUE"""),"")</f>
        <v/>
      </c>
      <c r="H1421" s="63"/>
      <c r="I1421" s="61"/>
      <c r="J1421" s="61"/>
      <c r="K1421" s="61"/>
      <c r="L1421" s="61"/>
      <c r="M1421" s="61"/>
      <c r="N1421" s="61"/>
      <c r="O1421" s="61"/>
      <c r="P1421" s="61"/>
      <c r="Q1421" s="61"/>
      <c r="R1421" s="61"/>
      <c r="S1421" s="61"/>
      <c r="T1421" s="61"/>
      <c r="U1421" s="61"/>
      <c r="V1421" s="61"/>
      <c r="W1421" s="61"/>
      <c r="X1421" s="61"/>
      <c r="Y1421" s="61"/>
      <c r="Z1421" s="61"/>
    </row>
    <row r="1422" ht="15.75" customHeight="1">
      <c r="A1422" s="61"/>
      <c r="B1422" s="61"/>
      <c r="C1422" s="61"/>
      <c r="D1422" s="61"/>
      <c r="E1422" s="61"/>
      <c r="F1422" s="61"/>
      <c r="G1422" s="61" t="str">
        <f>IFERROR(__xludf.DUMMYFUNCTION("""COMPUTED_VALUE"""),"")</f>
        <v/>
      </c>
      <c r="H1422" s="63"/>
      <c r="I1422" s="61"/>
      <c r="J1422" s="61"/>
      <c r="K1422" s="61"/>
      <c r="L1422" s="61"/>
      <c r="M1422" s="61"/>
      <c r="N1422" s="61"/>
      <c r="O1422" s="61"/>
      <c r="P1422" s="61"/>
      <c r="Q1422" s="61"/>
      <c r="R1422" s="61"/>
      <c r="S1422" s="61"/>
      <c r="T1422" s="61"/>
      <c r="U1422" s="61"/>
      <c r="V1422" s="61"/>
      <c r="W1422" s="61"/>
      <c r="X1422" s="61"/>
      <c r="Y1422" s="61"/>
      <c r="Z1422" s="61"/>
    </row>
    <row r="1423" ht="15.75" customHeight="1">
      <c r="A1423" s="61"/>
      <c r="B1423" s="61"/>
      <c r="C1423" s="61"/>
      <c r="D1423" s="61"/>
      <c r="E1423" s="61"/>
      <c r="F1423" s="61"/>
      <c r="G1423" s="61" t="str">
        <f>IFERROR(__xludf.DUMMYFUNCTION("""COMPUTED_VALUE"""),"")</f>
        <v/>
      </c>
      <c r="H1423" s="63"/>
      <c r="I1423" s="61"/>
      <c r="J1423" s="61"/>
      <c r="K1423" s="61"/>
      <c r="L1423" s="61"/>
      <c r="M1423" s="61"/>
      <c r="N1423" s="61"/>
      <c r="O1423" s="61"/>
      <c r="P1423" s="61"/>
      <c r="Q1423" s="61"/>
      <c r="R1423" s="61"/>
      <c r="S1423" s="61"/>
      <c r="T1423" s="61"/>
      <c r="U1423" s="61"/>
      <c r="V1423" s="61"/>
      <c r="W1423" s="61"/>
      <c r="X1423" s="61"/>
      <c r="Y1423" s="61"/>
      <c r="Z1423" s="61"/>
    </row>
    <row r="1424" ht="15.75" customHeight="1">
      <c r="A1424" s="61"/>
      <c r="B1424" s="61"/>
      <c r="C1424" s="61"/>
      <c r="D1424" s="61"/>
      <c r="E1424" s="61"/>
      <c r="F1424" s="61"/>
      <c r="G1424" s="61" t="str">
        <f>IFERROR(__xludf.DUMMYFUNCTION("""COMPUTED_VALUE"""),"")</f>
        <v/>
      </c>
      <c r="H1424" s="63"/>
      <c r="I1424" s="61"/>
      <c r="J1424" s="61"/>
      <c r="K1424" s="61"/>
      <c r="L1424" s="61"/>
      <c r="M1424" s="61"/>
      <c r="N1424" s="61"/>
      <c r="O1424" s="61"/>
      <c r="P1424" s="61"/>
      <c r="Q1424" s="61"/>
      <c r="R1424" s="61"/>
      <c r="S1424" s="61"/>
      <c r="T1424" s="61"/>
      <c r="U1424" s="61"/>
      <c r="V1424" s="61"/>
      <c r="W1424" s="61"/>
      <c r="X1424" s="61"/>
      <c r="Y1424" s="61"/>
      <c r="Z1424" s="61"/>
    </row>
    <row r="1425" ht="15.75" customHeight="1">
      <c r="A1425" s="61"/>
      <c r="B1425" s="61"/>
      <c r="C1425" s="61"/>
      <c r="D1425" s="61"/>
      <c r="E1425" s="61"/>
      <c r="F1425" s="61"/>
      <c r="G1425" s="61" t="str">
        <f>IFERROR(__xludf.DUMMYFUNCTION("""COMPUTED_VALUE"""),"")</f>
        <v/>
      </c>
      <c r="H1425" s="63"/>
      <c r="I1425" s="61"/>
      <c r="J1425" s="61"/>
      <c r="K1425" s="61"/>
      <c r="L1425" s="61"/>
      <c r="M1425" s="61"/>
      <c r="N1425" s="61"/>
      <c r="O1425" s="61"/>
      <c r="P1425" s="61"/>
      <c r="Q1425" s="61"/>
      <c r="R1425" s="61"/>
      <c r="S1425" s="61"/>
      <c r="T1425" s="61"/>
      <c r="U1425" s="61"/>
      <c r="V1425" s="61"/>
      <c r="W1425" s="61"/>
      <c r="X1425" s="61"/>
      <c r="Y1425" s="61"/>
      <c r="Z1425" s="61"/>
    </row>
    <row r="1426" ht="15.75" customHeight="1">
      <c r="A1426" s="61"/>
      <c r="B1426" s="61"/>
      <c r="C1426" s="61"/>
      <c r="D1426" s="61"/>
      <c r="E1426" s="61"/>
      <c r="F1426" s="61"/>
      <c r="G1426" s="61" t="str">
        <f>IFERROR(__xludf.DUMMYFUNCTION("""COMPUTED_VALUE"""),"")</f>
        <v/>
      </c>
      <c r="H1426" s="63"/>
      <c r="I1426" s="61"/>
      <c r="J1426" s="61"/>
      <c r="K1426" s="61"/>
      <c r="L1426" s="61"/>
      <c r="M1426" s="61"/>
      <c r="N1426" s="61"/>
      <c r="O1426" s="61"/>
      <c r="P1426" s="61"/>
      <c r="Q1426" s="61"/>
      <c r="R1426" s="61"/>
      <c r="S1426" s="61"/>
      <c r="T1426" s="61"/>
      <c r="U1426" s="61"/>
      <c r="V1426" s="61"/>
      <c r="W1426" s="61"/>
      <c r="X1426" s="61"/>
      <c r="Y1426" s="61"/>
      <c r="Z1426" s="61"/>
    </row>
    <row r="1427" ht="15.75" customHeight="1">
      <c r="A1427" s="61"/>
      <c r="B1427" s="61"/>
      <c r="C1427" s="61"/>
      <c r="D1427" s="61"/>
      <c r="E1427" s="61"/>
      <c r="F1427" s="61"/>
      <c r="G1427" s="61" t="str">
        <f>IFERROR(__xludf.DUMMYFUNCTION("""COMPUTED_VALUE"""),"")</f>
        <v/>
      </c>
      <c r="H1427" s="63"/>
      <c r="I1427" s="61"/>
      <c r="J1427" s="61"/>
      <c r="K1427" s="61"/>
      <c r="L1427" s="61"/>
      <c r="M1427" s="61"/>
      <c r="N1427" s="61"/>
      <c r="O1427" s="61"/>
      <c r="P1427" s="61"/>
      <c r="Q1427" s="61"/>
      <c r="R1427" s="61"/>
      <c r="S1427" s="61"/>
      <c r="T1427" s="61"/>
      <c r="U1427" s="61"/>
      <c r="V1427" s="61"/>
      <c r="W1427" s="61"/>
      <c r="X1427" s="61"/>
      <c r="Y1427" s="61"/>
      <c r="Z1427" s="61"/>
    </row>
    <row r="1428" ht="15.75" customHeight="1">
      <c r="A1428" s="61"/>
      <c r="B1428" s="61"/>
      <c r="C1428" s="61"/>
      <c r="D1428" s="61"/>
      <c r="E1428" s="61"/>
      <c r="F1428" s="61"/>
      <c r="G1428" s="61" t="str">
        <f>IFERROR(__xludf.DUMMYFUNCTION("""COMPUTED_VALUE"""),"")</f>
        <v/>
      </c>
      <c r="H1428" s="63"/>
      <c r="I1428" s="61"/>
      <c r="J1428" s="61"/>
      <c r="K1428" s="61"/>
      <c r="L1428" s="61"/>
      <c r="M1428" s="61"/>
      <c r="N1428" s="61"/>
      <c r="O1428" s="61"/>
      <c r="P1428" s="61"/>
      <c r="Q1428" s="61"/>
      <c r="R1428" s="61"/>
      <c r="S1428" s="61"/>
      <c r="T1428" s="61"/>
      <c r="U1428" s="61"/>
      <c r="V1428" s="61"/>
      <c r="W1428" s="61"/>
      <c r="X1428" s="61"/>
      <c r="Y1428" s="61"/>
      <c r="Z1428" s="61"/>
    </row>
    <row r="1429" ht="15.75" customHeight="1">
      <c r="A1429" s="61"/>
      <c r="B1429" s="61"/>
      <c r="C1429" s="61"/>
      <c r="D1429" s="61"/>
      <c r="E1429" s="61"/>
      <c r="F1429" s="61"/>
      <c r="G1429" s="61" t="str">
        <f>IFERROR(__xludf.DUMMYFUNCTION("""COMPUTED_VALUE"""),"")</f>
        <v/>
      </c>
      <c r="H1429" s="63"/>
      <c r="I1429" s="61"/>
      <c r="J1429" s="61"/>
      <c r="K1429" s="61"/>
      <c r="L1429" s="61"/>
      <c r="M1429" s="61"/>
      <c r="N1429" s="61"/>
      <c r="O1429" s="61"/>
      <c r="P1429" s="61"/>
      <c r="Q1429" s="61"/>
      <c r="R1429" s="61"/>
      <c r="S1429" s="61"/>
      <c r="T1429" s="61"/>
      <c r="U1429" s="61"/>
      <c r="V1429" s="61"/>
      <c r="W1429" s="61"/>
      <c r="X1429" s="61"/>
      <c r="Y1429" s="61"/>
      <c r="Z1429" s="61"/>
    </row>
    <row r="1430" ht="15.75" customHeight="1">
      <c r="A1430" s="61"/>
      <c r="B1430" s="61"/>
      <c r="C1430" s="61"/>
      <c r="D1430" s="61"/>
      <c r="E1430" s="61"/>
      <c r="F1430" s="61"/>
      <c r="G1430" s="61" t="str">
        <f>IFERROR(__xludf.DUMMYFUNCTION("""COMPUTED_VALUE"""),"")</f>
        <v/>
      </c>
      <c r="H1430" s="63"/>
      <c r="I1430" s="61"/>
      <c r="J1430" s="61"/>
      <c r="K1430" s="61"/>
      <c r="L1430" s="61"/>
      <c r="M1430" s="61"/>
      <c r="N1430" s="61"/>
      <c r="O1430" s="61"/>
      <c r="P1430" s="61"/>
      <c r="Q1430" s="61"/>
      <c r="R1430" s="61"/>
      <c r="S1430" s="61"/>
      <c r="T1430" s="61"/>
      <c r="U1430" s="61"/>
      <c r="V1430" s="61"/>
      <c r="W1430" s="61"/>
      <c r="X1430" s="61"/>
      <c r="Y1430" s="61"/>
      <c r="Z1430" s="61"/>
    </row>
    <row r="1431" ht="15.75" customHeight="1">
      <c r="A1431" s="61"/>
      <c r="B1431" s="61"/>
      <c r="C1431" s="61"/>
      <c r="D1431" s="61"/>
      <c r="E1431" s="61"/>
      <c r="F1431" s="61"/>
      <c r="G1431" s="61" t="str">
        <f>IFERROR(__xludf.DUMMYFUNCTION("""COMPUTED_VALUE"""),"")</f>
        <v/>
      </c>
      <c r="H1431" s="63"/>
      <c r="I1431" s="61"/>
      <c r="J1431" s="61"/>
      <c r="K1431" s="61"/>
      <c r="L1431" s="61"/>
      <c r="M1431" s="61"/>
      <c r="N1431" s="61"/>
      <c r="O1431" s="61"/>
      <c r="P1431" s="61"/>
      <c r="Q1431" s="61"/>
      <c r="R1431" s="61"/>
      <c r="S1431" s="61"/>
      <c r="T1431" s="61"/>
      <c r="U1431" s="61"/>
      <c r="V1431" s="61"/>
      <c r="W1431" s="61"/>
      <c r="X1431" s="61"/>
      <c r="Y1431" s="61"/>
      <c r="Z1431" s="61"/>
    </row>
    <row r="1432" ht="15.75" customHeight="1">
      <c r="A1432" s="61"/>
      <c r="B1432" s="61"/>
      <c r="C1432" s="61"/>
      <c r="D1432" s="61"/>
      <c r="E1432" s="61"/>
      <c r="F1432" s="61"/>
      <c r="G1432" s="61" t="str">
        <f>IFERROR(__xludf.DUMMYFUNCTION("""COMPUTED_VALUE"""),"")</f>
        <v/>
      </c>
      <c r="H1432" s="63"/>
      <c r="I1432" s="61"/>
      <c r="J1432" s="61"/>
      <c r="K1432" s="61"/>
      <c r="L1432" s="61"/>
      <c r="M1432" s="61"/>
      <c r="N1432" s="61"/>
      <c r="O1432" s="61"/>
      <c r="P1432" s="61"/>
      <c r="Q1432" s="61"/>
      <c r="R1432" s="61"/>
      <c r="S1432" s="61"/>
      <c r="T1432" s="61"/>
      <c r="U1432" s="61"/>
      <c r="V1432" s="61"/>
      <c r="W1432" s="61"/>
      <c r="X1432" s="61"/>
      <c r="Y1432" s="61"/>
      <c r="Z1432" s="61"/>
    </row>
    <row r="1433" ht="15.75" customHeight="1">
      <c r="A1433" s="61"/>
      <c r="B1433" s="61"/>
      <c r="C1433" s="61"/>
      <c r="D1433" s="61"/>
      <c r="E1433" s="61"/>
      <c r="F1433" s="61"/>
      <c r="G1433" s="61" t="str">
        <f>IFERROR(__xludf.DUMMYFUNCTION("""COMPUTED_VALUE"""),"")</f>
        <v/>
      </c>
      <c r="H1433" s="63"/>
      <c r="I1433" s="61"/>
      <c r="J1433" s="61"/>
      <c r="K1433" s="61"/>
      <c r="L1433" s="61"/>
      <c r="M1433" s="61"/>
      <c r="N1433" s="61"/>
      <c r="O1433" s="61"/>
      <c r="P1433" s="61"/>
      <c r="Q1433" s="61"/>
      <c r="R1433" s="61"/>
      <c r="S1433" s="61"/>
      <c r="T1433" s="61"/>
      <c r="U1433" s="61"/>
      <c r="V1433" s="61"/>
      <c r="W1433" s="61"/>
      <c r="X1433" s="61"/>
      <c r="Y1433" s="61"/>
      <c r="Z1433" s="61"/>
    </row>
    <row r="1434" ht="15.75" customHeight="1">
      <c r="A1434" s="61"/>
      <c r="B1434" s="61"/>
      <c r="C1434" s="61"/>
      <c r="D1434" s="61"/>
      <c r="E1434" s="61"/>
      <c r="F1434" s="61"/>
      <c r="G1434" s="61" t="str">
        <f>IFERROR(__xludf.DUMMYFUNCTION("""COMPUTED_VALUE"""),"")</f>
        <v/>
      </c>
      <c r="H1434" s="63"/>
      <c r="I1434" s="61"/>
      <c r="J1434" s="61"/>
      <c r="K1434" s="61"/>
      <c r="L1434" s="61"/>
      <c r="M1434" s="61"/>
      <c r="N1434" s="61"/>
      <c r="O1434" s="61"/>
      <c r="P1434" s="61"/>
      <c r="Q1434" s="61"/>
      <c r="R1434" s="61"/>
      <c r="S1434" s="61"/>
      <c r="T1434" s="61"/>
      <c r="U1434" s="61"/>
      <c r="V1434" s="61"/>
      <c r="W1434" s="61"/>
      <c r="X1434" s="61"/>
      <c r="Y1434" s="61"/>
      <c r="Z1434" s="61"/>
    </row>
    <row r="1435" ht="15.75" customHeight="1">
      <c r="A1435" s="61"/>
      <c r="B1435" s="61"/>
      <c r="C1435" s="61"/>
      <c r="D1435" s="61"/>
      <c r="E1435" s="61"/>
      <c r="F1435" s="61"/>
      <c r="G1435" s="61" t="str">
        <f>IFERROR(__xludf.DUMMYFUNCTION("""COMPUTED_VALUE"""),"")</f>
        <v/>
      </c>
      <c r="H1435" s="63"/>
      <c r="I1435" s="61"/>
      <c r="J1435" s="61"/>
      <c r="K1435" s="61"/>
      <c r="L1435" s="61"/>
      <c r="M1435" s="61"/>
      <c r="N1435" s="61"/>
      <c r="O1435" s="61"/>
      <c r="P1435" s="61"/>
      <c r="Q1435" s="61"/>
      <c r="R1435" s="61"/>
      <c r="S1435" s="61"/>
      <c r="T1435" s="61"/>
      <c r="U1435" s="61"/>
      <c r="V1435" s="61"/>
      <c r="W1435" s="61"/>
      <c r="X1435" s="61"/>
      <c r="Y1435" s="61"/>
      <c r="Z1435" s="61"/>
    </row>
    <row r="1436" ht="15.75" customHeight="1">
      <c r="A1436" s="61"/>
      <c r="B1436" s="61"/>
      <c r="C1436" s="61"/>
      <c r="D1436" s="61"/>
      <c r="E1436" s="61"/>
      <c r="F1436" s="61"/>
      <c r="G1436" s="61" t="str">
        <f>IFERROR(__xludf.DUMMYFUNCTION("""COMPUTED_VALUE"""),"")</f>
        <v/>
      </c>
      <c r="H1436" s="63"/>
      <c r="I1436" s="61"/>
      <c r="J1436" s="61"/>
      <c r="K1436" s="61"/>
      <c r="L1436" s="61"/>
      <c r="M1436" s="61"/>
      <c r="N1436" s="61"/>
      <c r="O1436" s="61"/>
      <c r="P1436" s="61"/>
      <c r="Q1436" s="61"/>
      <c r="R1436" s="61"/>
      <c r="S1436" s="61"/>
      <c r="T1436" s="61"/>
      <c r="U1436" s="61"/>
      <c r="V1436" s="61"/>
      <c r="W1436" s="61"/>
      <c r="X1436" s="61"/>
      <c r="Y1436" s="61"/>
      <c r="Z1436" s="61"/>
    </row>
    <row r="1437" ht="15.75" customHeight="1">
      <c r="A1437" s="61"/>
      <c r="B1437" s="61"/>
      <c r="C1437" s="61"/>
      <c r="D1437" s="61"/>
      <c r="E1437" s="61"/>
      <c r="F1437" s="61"/>
      <c r="G1437" s="61" t="str">
        <f>IFERROR(__xludf.DUMMYFUNCTION("""COMPUTED_VALUE"""),"")</f>
        <v/>
      </c>
      <c r="H1437" s="63"/>
      <c r="I1437" s="61"/>
      <c r="J1437" s="61"/>
      <c r="K1437" s="61"/>
      <c r="L1437" s="61"/>
      <c r="M1437" s="61"/>
      <c r="N1437" s="61"/>
      <c r="O1437" s="61"/>
      <c r="P1437" s="61"/>
      <c r="Q1437" s="61"/>
      <c r="R1437" s="61"/>
      <c r="S1437" s="61"/>
      <c r="T1437" s="61"/>
      <c r="U1437" s="61"/>
      <c r="V1437" s="61"/>
      <c r="W1437" s="61"/>
      <c r="X1437" s="61"/>
      <c r="Y1437" s="61"/>
      <c r="Z1437" s="61"/>
    </row>
    <row r="1438" ht="15.75" customHeight="1">
      <c r="A1438" s="61"/>
      <c r="B1438" s="61"/>
      <c r="C1438" s="61"/>
      <c r="D1438" s="61"/>
      <c r="E1438" s="61"/>
      <c r="F1438" s="61"/>
      <c r="G1438" s="61" t="str">
        <f>IFERROR(__xludf.DUMMYFUNCTION("""COMPUTED_VALUE"""),"")</f>
        <v/>
      </c>
      <c r="H1438" s="63"/>
      <c r="I1438" s="61"/>
      <c r="J1438" s="61"/>
      <c r="K1438" s="61"/>
      <c r="L1438" s="61"/>
      <c r="M1438" s="61"/>
      <c r="N1438" s="61"/>
      <c r="O1438" s="61"/>
      <c r="P1438" s="61"/>
      <c r="Q1438" s="61"/>
      <c r="R1438" s="61"/>
      <c r="S1438" s="61"/>
      <c r="T1438" s="61"/>
      <c r="U1438" s="61"/>
      <c r="V1438" s="61"/>
      <c r="W1438" s="61"/>
      <c r="X1438" s="61"/>
      <c r="Y1438" s="61"/>
      <c r="Z1438" s="61"/>
    </row>
    <row r="1439" ht="15.75" customHeight="1">
      <c r="A1439" s="61"/>
      <c r="B1439" s="61"/>
      <c r="C1439" s="61"/>
      <c r="D1439" s="61"/>
      <c r="E1439" s="61"/>
      <c r="F1439" s="61"/>
      <c r="G1439" s="61" t="str">
        <f>IFERROR(__xludf.DUMMYFUNCTION("""COMPUTED_VALUE"""),"")</f>
        <v/>
      </c>
      <c r="H1439" s="63"/>
      <c r="I1439" s="61"/>
      <c r="J1439" s="61"/>
      <c r="K1439" s="61"/>
      <c r="L1439" s="61"/>
      <c r="M1439" s="61"/>
      <c r="N1439" s="61"/>
      <c r="O1439" s="61"/>
      <c r="P1439" s="61"/>
      <c r="Q1439" s="61"/>
      <c r="R1439" s="61"/>
      <c r="S1439" s="61"/>
      <c r="T1439" s="61"/>
      <c r="U1439" s="61"/>
      <c r="V1439" s="61"/>
      <c r="W1439" s="61"/>
      <c r="X1439" s="61"/>
      <c r="Y1439" s="61"/>
      <c r="Z1439" s="61"/>
    </row>
    <row r="1440" ht="15.75" customHeight="1">
      <c r="A1440" s="61"/>
      <c r="B1440" s="61"/>
      <c r="C1440" s="61"/>
      <c r="D1440" s="61"/>
      <c r="E1440" s="61"/>
      <c r="F1440" s="61"/>
      <c r="G1440" s="61" t="str">
        <f>IFERROR(__xludf.DUMMYFUNCTION("""COMPUTED_VALUE"""),"")</f>
        <v/>
      </c>
      <c r="H1440" s="63"/>
      <c r="I1440" s="61"/>
      <c r="J1440" s="61"/>
      <c r="K1440" s="61"/>
      <c r="L1440" s="61"/>
      <c r="M1440" s="61"/>
      <c r="N1440" s="61"/>
      <c r="O1440" s="61"/>
      <c r="P1440" s="61"/>
      <c r="Q1440" s="61"/>
      <c r="R1440" s="61"/>
      <c r="S1440" s="61"/>
      <c r="T1440" s="61"/>
      <c r="U1440" s="61"/>
      <c r="V1440" s="61"/>
      <c r="W1440" s="61"/>
      <c r="X1440" s="61"/>
      <c r="Y1440" s="61"/>
      <c r="Z1440" s="61"/>
    </row>
    <row r="1441" ht="15.75" customHeight="1">
      <c r="A1441" s="61"/>
      <c r="B1441" s="61"/>
      <c r="C1441" s="61"/>
      <c r="D1441" s="61"/>
      <c r="E1441" s="61"/>
      <c r="F1441" s="61"/>
      <c r="G1441" s="61" t="str">
        <f>IFERROR(__xludf.DUMMYFUNCTION("""COMPUTED_VALUE"""),"")</f>
        <v/>
      </c>
      <c r="H1441" s="63"/>
      <c r="I1441" s="61"/>
      <c r="J1441" s="61"/>
      <c r="K1441" s="61"/>
      <c r="L1441" s="61"/>
      <c r="M1441" s="61"/>
      <c r="N1441" s="61"/>
      <c r="O1441" s="61"/>
      <c r="P1441" s="61"/>
      <c r="Q1441" s="61"/>
      <c r="R1441" s="61"/>
      <c r="S1441" s="61"/>
      <c r="T1441" s="61"/>
      <c r="U1441" s="61"/>
      <c r="V1441" s="61"/>
      <c r="W1441" s="61"/>
      <c r="X1441" s="61"/>
      <c r="Y1441" s="61"/>
      <c r="Z1441" s="61"/>
    </row>
    <row r="1442" ht="15.75" customHeight="1">
      <c r="A1442" s="61"/>
      <c r="B1442" s="61"/>
      <c r="C1442" s="61"/>
      <c r="D1442" s="61"/>
      <c r="E1442" s="61"/>
      <c r="F1442" s="61"/>
      <c r="G1442" s="61" t="str">
        <f>IFERROR(__xludf.DUMMYFUNCTION("""COMPUTED_VALUE"""),"")</f>
        <v/>
      </c>
      <c r="H1442" s="63"/>
      <c r="I1442" s="61"/>
      <c r="J1442" s="61"/>
      <c r="K1442" s="61"/>
      <c r="L1442" s="61"/>
      <c r="M1442" s="61"/>
      <c r="N1442" s="61"/>
      <c r="O1442" s="61"/>
      <c r="P1442" s="61"/>
      <c r="Q1442" s="61"/>
      <c r="R1442" s="61"/>
      <c r="S1442" s="61"/>
      <c r="T1442" s="61"/>
      <c r="U1442" s="61"/>
      <c r="V1442" s="61"/>
      <c r="W1442" s="61"/>
      <c r="X1442" s="61"/>
      <c r="Y1442" s="61"/>
      <c r="Z1442" s="61"/>
    </row>
    <row r="1443" ht="15.75" customHeight="1">
      <c r="A1443" s="61"/>
      <c r="B1443" s="61"/>
      <c r="C1443" s="61"/>
      <c r="D1443" s="61"/>
      <c r="E1443" s="61"/>
      <c r="F1443" s="61"/>
      <c r="G1443" s="61" t="str">
        <f>IFERROR(__xludf.DUMMYFUNCTION("""COMPUTED_VALUE"""),"")</f>
        <v/>
      </c>
      <c r="H1443" s="63"/>
      <c r="I1443" s="61"/>
      <c r="J1443" s="61"/>
      <c r="K1443" s="61"/>
      <c r="L1443" s="61"/>
      <c r="M1443" s="61"/>
      <c r="N1443" s="61"/>
      <c r="O1443" s="61"/>
      <c r="P1443" s="61"/>
      <c r="Q1443" s="61"/>
      <c r="R1443" s="61"/>
      <c r="S1443" s="61"/>
      <c r="T1443" s="61"/>
      <c r="U1443" s="61"/>
      <c r="V1443" s="61"/>
      <c r="W1443" s="61"/>
      <c r="X1443" s="61"/>
      <c r="Y1443" s="61"/>
      <c r="Z1443" s="61"/>
    </row>
    <row r="1444" ht="15.75" customHeight="1">
      <c r="A1444" s="61"/>
      <c r="B1444" s="61"/>
      <c r="C1444" s="61"/>
      <c r="D1444" s="61"/>
      <c r="E1444" s="61"/>
      <c r="F1444" s="61"/>
      <c r="G1444" s="61" t="str">
        <f>IFERROR(__xludf.DUMMYFUNCTION("""COMPUTED_VALUE"""),"")</f>
        <v/>
      </c>
      <c r="H1444" s="63"/>
      <c r="I1444" s="61"/>
      <c r="J1444" s="61"/>
      <c r="K1444" s="61"/>
      <c r="L1444" s="61"/>
      <c r="M1444" s="61"/>
      <c r="N1444" s="61"/>
      <c r="O1444" s="61"/>
      <c r="P1444" s="61"/>
      <c r="Q1444" s="61"/>
      <c r="R1444" s="61"/>
      <c r="S1444" s="61"/>
      <c r="T1444" s="61"/>
      <c r="U1444" s="61"/>
      <c r="V1444" s="61"/>
      <c r="W1444" s="61"/>
      <c r="X1444" s="61"/>
      <c r="Y1444" s="61"/>
      <c r="Z1444" s="61"/>
    </row>
    <row r="1445" ht="15.75" customHeight="1">
      <c r="A1445" s="61"/>
      <c r="B1445" s="61"/>
      <c r="C1445" s="61"/>
      <c r="D1445" s="61"/>
      <c r="E1445" s="61"/>
      <c r="F1445" s="61"/>
      <c r="G1445" s="61" t="str">
        <f>IFERROR(__xludf.DUMMYFUNCTION("""COMPUTED_VALUE"""),"")</f>
        <v/>
      </c>
      <c r="H1445" s="63"/>
      <c r="I1445" s="61"/>
      <c r="J1445" s="61"/>
      <c r="K1445" s="61"/>
      <c r="L1445" s="61"/>
      <c r="M1445" s="61"/>
      <c r="N1445" s="61"/>
      <c r="O1445" s="61"/>
      <c r="P1445" s="61"/>
      <c r="Q1445" s="61"/>
      <c r="R1445" s="61"/>
      <c r="S1445" s="61"/>
      <c r="T1445" s="61"/>
      <c r="U1445" s="61"/>
      <c r="V1445" s="61"/>
      <c r="W1445" s="61"/>
      <c r="X1445" s="61"/>
      <c r="Y1445" s="61"/>
      <c r="Z1445" s="61"/>
    </row>
    <row r="1446" ht="15.75" customHeight="1">
      <c r="A1446" s="61"/>
      <c r="B1446" s="61"/>
      <c r="C1446" s="61"/>
      <c r="D1446" s="61"/>
      <c r="E1446" s="61"/>
      <c r="F1446" s="61"/>
      <c r="G1446" s="61" t="str">
        <f>IFERROR(__xludf.DUMMYFUNCTION("""COMPUTED_VALUE"""),"")</f>
        <v/>
      </c>
      <c r="H1446" s="63"/>
      <c r="I1446" s="61"/>
      <c r="J1446" s="61"/>
      <c r="K1446" s="61"/>
      <c r="L1446" s="61"/>
      <c r="M1446" s="61"/>
      <c r="N1446" s="61"/>
      <c r="O1446" s="61"/>
      <c r="P1446" s="61"/>
      <c r="Q1446" s="61"/>
      <c r="R1446" s="61"/>
      <c r="S1446" s="61"/>
      <c r="T1446" s="61"/>
      <c r="U1446" s="61"/>
      <c r="V1446" s="61"/>
      <c r="W1446" s="61"/>
      <c r="X1446" s="61"/>
      <c r="Y1446" s="61"/>
      <c r="Z1446" s="61"/>
    </row>
    <row r="1447" ht="15.75" customHeight="1">
      <c r="A1447" s="61"/>
      <c r="B1447" s="61"/>
      <c r="C1447" s="61"/>
      <c r="D1447" s="61"/>
      <c r="E1447" s="61"/>
      <c r="F1447" s="61"/>
      <c r="G1447" s="61" t="str">
        <f>IFERROR(__xludf.DUMMYFUNCTION("""COMPUTED_VALUE"""),"")</f>
        <v/>
      </c>
      <c r="H1447" s="63"/>
      <c r="I1447" s="61"/>
      <c r="J1447" s="61"/>
      <c r="K1447" s="61"/>
      <c r="L1447" s="61"/>
      <c r="M1447" s="61"/>
      <c r="N1447" s="61"/>
      <c r="O1447" s="61"/>
      <c r="P1447" s="61"/>
      <c r="Q1447" s="61"/>
      <c r="R1447" s="61"/>
      <c r="S1447" s="61"/>
      <c r="T1447" s="61"/>
      <c r="U1447" s="61"/>
      <c r="V1447" s="61"/>
      <c r="W1447" s="61"/>
      <c r="X1447" s="61"/>
      <c r="Y1447" s="61"/>
      <c r="Z1447" s="61"/>
    </row>
    <row r="1448" ht="15.75" customHeight="1">
      <c r="A1448" s="61"/>
      <c r="B1448" s="61"/>
      <c r="C1448" s="61"/>
      <c r="D1448" s="61"/>
      <c r="E1448" s="61"/>
      <c r="F1448" s="61"/>
      <c r="G1448" s="61" t="str">
        <f>IFERROR(__xludf.DUMMYFUNCTION("""COMPUTED_VALUE"""),"")</f>
        <v/>
      </c>
      <c r="H1448" s="63"/>
      <c r="I1448" s="61"/>
      <c r="J1448" s="61"/>
      <c r="K1448" s="61"/>
      <c r="L1448" s="61"/>
      <c r="M1448" s="61"/>
      <c r="N1448" s="61"/>
      <c r="O1448" s="61"/>
      <c r="P1448" s="61"/>
      <c r="Q1448" s="61"/>
      <c r="R1448" s="61"/>
      <c r="S1448" s="61"/>
      <c r="T1448" s="61"/>
      <c r="U1448" s="61"/>
      <c r="V1448" s="61"/>
      <c r="W1448" s="61"/>
      <c r="X1448" s="61"/>
      <c r="Y1448" s="61"/>
      <c r="Z1448" s="61"/>
    </row>
    <row r="1449" ht="15.75" customHeight="1">
      <c r="A1449" s="61"/>
      <c r="B1449" s="61"/>
      <c r="C1449" s="61"/>
      <c r="D1449" s="61"/>
      <c r="E1449" s="61"/>
      <c r="F1449" s="61"/>
      <c r="G1449" s="61" t="str">
        <f>IFERROR(__xludf.DUMMYFUNCTION("""COMPUTED_VALUE"""),"")</f>
        <v/>
      </c>
      <c r="H1449" s="63"/>
      <c r="I1449" s="61"/>
      <c r="J1449" s="61"/>
      <c r="K1449" s="61"/>
      <c r="L1449" s="61"/>
      <c r="M1449" s="61"/>
      <c r="N1449" s="61"/>
      <c r="O1449" s="61"/>
      <c r="P1449" s="61"/>
      <c r="Q1449" s="61"/>
      <c r="R1449" s="61"/>
      <c r="S1449" s="61"/>
      <c r="T1449" s="61"/>
      <c r="U1449" s="61"/>
      <c r="V1449" s="61"/>
      <c r="W1449" s="61"/>
      <c r="X1449" s="61"/>
      <c r="Y1449" s="61"/>
      <c r="Z1449" s="61"/>
    </row>
    <row r="1450" ht="15.75" customHeight="1">
      <c r="A1450" s="61"/>
      <c r="B1450" s="61"/>
      <c r="C1450" s="61"/>
      <c r="D1450" s="61"/>
      <c r="E1450" s="61"/>
      <c r="F1450" s="61"/>
      <c r="G1450" s="61" t="str">
        <f>IFERROR(__xludf.DUMMYFUNCTION("""COMPUTED_VALUE"""),"")</f>
        <v/>
      </c>
      <c r="H1450" s="63"/>
      <c r="I1450" s="61"/>
      <c r="J1450" s="61"/>
      <c r="K1450" s="61"/>
      <c r="L1450" s="61"/>
      <c r="M1450" s="61"/>
      <c r="N1450" s="61"/>
      <c r="O1450" s="61"/>
      <c r="P1450" s="61"/>
      <c r="Q1450" s="61"/>
      <c r="R1450" s="61"/>
      <c r="S1450" s="61"/>
      <c r="T1450" s="61"/>
      <c r="U1450" s="61"/>
      <c r="V1450" s="61"/>
      <c r="W1450" s="61"/>
      <c r="X1450" s="61"/>
      <c r="Y1450" s="61"/>
      <c r="Z1450" s="61"/>
    </row>
    <row r="1451" ht="15.75" customHeight="1">
      <c r="A1451" s="61"/>
      <c r="B1451" s="61"/>
      <c r="C1451" s="61"/>
      <c r="D1451" s="61"/>
      <c r="E1451" s="61"/>
      <c r="F1451" s="61"/>
      <c r="G1451" s="61" t="str">
        <f>IFERROR(__xludf.DUMMYFUNCTION("""COMPUTED_VALUE"""),"")</f>
        <v/>
      </c>
      <c r="H1451" s="63"/>
      <c r="I1451" s="61"/>
      <c r="J1451" s="61"/>
      <c r="K1451" s="61"/>
      <c r="L1451" s="61"/>
      <c r="M1451" s="61"/>
      <c r="N1451" s="61"/>
      <c r="O1451" s="61"/>
      <c r="P1451" s="61"/>
      <c r="Q1451" s="61"/>
      <c r="R1451" s="61"/>
      <c r="S1451" s="61"/>
      <c r="T1451" s="61"/>
      <c r="U1451" s="61"/>
      <c r="V1451" s="61"/>
      <c r="W1451" s="61"/>
      <c r="X1451" s="61"/>
      <c r="Y1451" s="61"/>
      <c r="Z1451" s="61"/>
    </row>
    <row r="1452" ht="15.75" customHeight="1">
      <c r="A1452" s="61"/>
      <c r="B1452" s="61"/>
      <c r="C1452" s="61"/>
      <c r="D1452" s="61"/>
      <c r="E1452" s="61"/>
      <c r="F1452" s="61"/>
      <c r="G1452" s="61" t="str">
        <f>IFERROR(__xludf.DUMMYFUNCTION("""COMPUTED_VALUE"""),"")</f>
        <v/>
      </c>
      <c r="H1452" s="63"/>
      <c r="I1452" s="61"/>
      <c r="J1452" s="61"/>
      <c r="K1452" s="61"/>
      <c r="L1452" s="61"/>
      <c r="M1452" s="61"/>
      <c r="N1452" s="61"/>
      <c r="O1452" s="61"/>
      <c r="P1452" s="61"/>
      <c r="Q1452" s="61"/>
      <c r="R1452" s="61"/>
      <c r="S1452" s="61"/>
      <c r="T1452" s="61"/>
      <c r="U1452" s="61"/>
      <c r="V1452" s="61"/>
      <c r="W1452" s="61"/>
      <c r="X1452" s="61"/>
      <c r="Y1452" s="61"/>
      <c r="Z1452" s="61"/>
    </row>
    <row r="1453" ht="15.75" customHeight="1">
      <c r="A1453" s="61"/>
      <c r="B1453" s="61"/>
      <c r="C1453" s="61"/>
      <c r="D1453" s="61"/>
      <c r="E1453" s="61"/>
      <c r="F1453" s="61"/>
      <c r="G1453" s="61" t="str">
        <f>IFERROR(__xludf.DUMMYFUNCTION("""COMPUTED_VALUE"""),"")</f>
        <v/>
      </c>
      <c r="H1453" s="63"/>
      <c r="I1453" s="61"/>
      <c r="J1453" s="61"/>
      <c r="K1453" s="61"/>
      <c r="L1453" s="61"/>
      <c r="M1453" s="61"/>
      <c r="N1453" s="61"/>
      <c r="O1453" s="61"/>
      <c r="P1453" s="61"/>
      <c r="Q1453" s="61"/>
      <c r="R1453" s="61"/>
      <c r="S1453" s="61"/>
      <c r="T1453" s="61"/>
      <c r="U1453" s="61"/>
      <c r="V1453" s="61"/>
      <c r="W1453" s="61"/>
      <c r="X1453" s="61"/>
      <c r="Y1453" s="61"/>
      <c r="Z1453" s="61"/>
    </row>
    <row r="1454" ht="15.75" customHeight="1">
      <c r="A1454" s="61"/>
      <c r="B1454" s="61"/>
      <c r="C1454" s="61"/>
      <c r="D1454" s="61"/>
      <c r="E1454" s="61"/>
      <c r="F1454" s="61"/>
      <c r="G1454" s="61" t="str">
        <f>IFERROR(__xludf.DUMMYFUNCTION("""COMPUTED_VALUE"""),"")</f>
        <v/>
      </c>
      <c r="H1454" s="63"/>
      <c r="I1454" s="61"/>
      <c r="J1454" s="61"/>
      <c r="K1454" s="61"/>
      <c r="L1454" s="61"/>
      <c r="M1454" s="61"/>
      <c r="N1454" s="61"/>
      <c r="O1454" s="61"/>
      <c r="P1454" s="61"/>
      <c r="Q1454" s="61"/>
      <c r="R1454" s="61"/>
      <c r="S1454" s="61"/>
      <c r="T1454" s="61"/>
      <c r="U1454" s="61"/>
      <c r="V1454" s="61"/>
      <c r="W1454" s="61"/>
      <c r="X1454" s="61"/>
      <c r="Y1454" s="61"/>
      <c r="Z1454" s="61"/>
    </row>
    <row r="1455" ht="15.75" customHeight="1">
      <c r="A1455" s="61"/>
      <c r="B1455" s="61"/>
      <c r="C1455" s="61"/>
      <c r="D1455" s="61"/>
      <c r="E1455" s="61"/>
      <c r="F1455" s="61"/>
      <c r="G1455" s="61" t="str">
        <f>IFERROR(__xludf.DUMMYFUNCTION("""COMPUTED_VALUE"""),"")</f>
        <v/>
      </c>
      <c r="H1455" s="63"/>
      <c r="I1455" s="61"/>
      <c r="J1455" s="61"/>
      <c r="K1455" s="61"/>
      <c r="L1455" s="61"/>
      <c r="M1455" s="61"/>
      <c r="N1455" s="61"/>
      <c r="O1455" s="61"/>
      <c r="P1455" s="61"/>
      <c r="Q1455" s="61"/>
      <c r="R1455" s="61"/>
      <c r="S1455" s="61"/>
      <c r="T1455" s="61"/>
      <c r="U1455" s="61"/>
      <c r="V1455" s="61"/>
      <c r="W1455" s="61"/>
      <c r="X1455" s="61"/>
      <c r="Y1455" s="61"/>
      <c r="Z1455" s="61"/>
    </row>
    <row r="1456" ht="15.75" customHeight="1">
      <c r="A1456" s="61"/>
      <c r="B1456" s="61"/>
      <c r="C1456" s="61"/>
      <c r="D1456" s="61"/>
      <c r="E1456" s="61"/>
      <c r="F1456" s="61"/>
      <c r="G1456" s="61" t="str">
        <f>IFERROR(__xludf.DUMMYFUNCTION("""COMPUTED_VALUE"""),"")</f>
        <v/>
      </c>
      <c r="H1456" s="63"/>
      <c r="I1456" s="61"/>
      <c r="J1456" s="61"/>
      <c r="K1456" s="61"/>
      <c r="L1456" s="61"/>
      <c r="M1456" s="61"/>
      <c r="N1456" s="61"/>
      <c r="O1456" s="61"/>
      <c r="P1456" s="61"/>
      <c r="Q1456" s="61"/>
      <c r="R1456" s="61"/>
      <c r="S1456" s="61"/>
      <c r="T1456" s="61"/>
      <c r="U1456" s="61"/>
      <c r="V1456" s="61"/>
      <c r="W1456" s="61"/>
      <c r="X1456" s="61"/>
      <c r="Y1456" s="61"/>
      <c r="Z1456" s="61"/>
    </row>
    <row r="1457" ht="15.75" customHeight="1">
      <c r="A1457" s="61"/>
      <c r="B1457" s="61"/>
      <c r="C1457" s="61"/>
      <c r="D1457" s="61"/>
      <c r="E1457" s="61"/>
      <c r="F1457" s="61"/>
      <c r="G1457" s="61" t="str">
        <f>IFERROR(__xludf.DUMMYFUNCTION("""COMPUTED_VALUE"""),"")</f>
        <v/>
      </c>
      <c r="H1457" s="63"/>
      <c r="I1457" s="61"/>
      <c r="J1457" s="61"/>
      <c r="K1457" s="61"/>
      <c r="L1457" s="61"/>
      <c r="M1457" s="61"/>
      <c r="N1457" s="61"/>
      <c r="O1457" s="61"/>
      <c r="P1457" s="61"/>
      <c r="Q1457" s="61"/>
      <c r="R1457" s="61"/>
      <c r="S1457" s="61"/>
      <c r="T1457" s="61"/>
      <c r="U1457" s="61"/>
      <c r="V1457" s="61"/>
      <c r="W1457" s="61"/>
      <c r="X1457" s="61"/>
      <c r="Y1457" s="61"/>
      <c r="Z1457" s="61"/>
    </row>
    <row r="1458" ht="15.75" customHeight="1">
      <c r="A1458" s="61"/>
      <c r="B1458" s="61"/>
      <c r="C1458" s="61"/>
      <c r="D1458" s="61"/>
      <c r="E1458" s="61"/>
      <c r="F1458" s="61"/>
      <c r="G1458" s="61" t="str">
        <f>IFERROR(__xludf.DUMMYFUNCTION("""COMPUTED_VALUE"""),"")</f>
        <v/>
      </c>
      <c r="H1458" s="63"/>
      <c r="I1458" s="61"/>
      <c r="J1458" s="61"/>
      <c r="K1458" s="61"/>
      <c r="L1458" s="61"/>
      <c r="M1458" s="61"/>
      <c r="N1458" s="61"/>
      <c r="O1458" s="61"/>
      <c r="P1458" s="61"/>
      <c r="Q1458" s="61"/>
      <c r="R1458" s="61"/>
      <c r="S1458" s="61"/>
      <c r="T1458" s="61"/>
      <c r="U1458" s="61"/>
      <c r="V1458" s="61"/>
      <c r="W1458" s="61"/>
      <c r="X1458" s="61"/>
      <c r="Y1458" s="61"/>
      <c r="Z1458" s="61"/>
    </row>
    <row r="1459" ht="15.75" customHeight="1">
      <c r="A1459" s="61"/>
      <c r="B1459" s="61"/>
      <c r="C1459" s="61"/>
      <c r="D1459" s="61"/>
      <c r="E1459" s="61"/>
      <c r="F1459" s="61"/>
      <c r="G1459" s="61" t="str">
        <f>IFERROR(__xludf.DUMMYFUNCTION("""COMPUTED_VALUE"""),"")</f>
        <v/>
      </c>
      <c r="H1459" s="63"/>
      <c r="I1459" s="61"/>
      <c r="J1459" s="61"/>
      <c r="K1459" s="61"/>
      <c r="L1459" s="61"/>
      <c r="M1459" s="61"/>
      <c r="N1459" s="61"/>
      <c r="O1459" s="61"/>
      <c r="P1459" s="61"/>
      <c r="Q1459" s="61"/>
      <c r="R1459" s="61"/>
      <c r="S1459" s="61"/>
      <c r="T1459" s="61"/>
      <c r="U1459" s="61"/>
      <c r="V1459" s="61"/>
      <c r="W1459" s="61"/>
      <c r="X1459" s="61"/>
      <c r="Y1459" s="61"/>
      <c r="Z1459" s="61"/>
    </row>
    <row r="1460" ht="15.75" customHeight="1">
      <c r="A1460" s="61"/>
      <c r="B1460" s="61"/>
      <c r="C1460" s="61"/>
      <c r="D1460" s="61"/>
      <c r="E1460" s="61"/>
      <c r="F1460" s="61"/>
      <c r="G1460" s="61" t="str">
        <f>IFERROR(__xludf.DUMMYFUNCTION("""COMPUTED_VALUE"""),"")</f>
        <v/>
      </c>
      <c r="H1460" s="63"/>
      <c r="I1460" s="61"/>
      <c r="J1460" s="61"/>
      <c r="K1460" s="61"/>
      <c r="L1460" s="61"/>
      <c r="M1460" s="61"/>
      <c r="N1460" s="61"/>
      <c r="O1460" s="61"/>
      <c r="P1460" s="61"/>
      <c r="Q1460" s="61"/>
      <c r="R1460" s="61"/>
      <c r="S1460" s="61"/>
      <c r="T1460" s="61"/>
      <c r="U1460" s="61"/>
      <c r="V1460" s="61"/>
      <c r="W1460" s="61"/>
      <c r="X1460" s="61"/>
      <c r="Y1460" s="61"/>
      <c r="Z1460" s="61"/>
    </row>
    <row r="1461" ht="15.75" customHeight="1">
      <c r="A1461" s="61"/>
      <c r="B1461" s="61"/>
      <c r="C1461" s="61"/>
      <c r="D1461" s="61"/>
      <c r="E1461" s="61"/>
      <c r="F1461" s="61"/>
      <c r="G1461" s="61" t="str">
        <f>IFERROR(__xludf.DUMMYFUNCTION("""COMPUTED_VALUE"""),"")</f>
        <v/>
      </c>
      <c r="H1461" s="63"/>
      <c r="I1461" s="61"/>
      <c r="J1461" s="61"/>
      <c r="K1461" s="61"/>
      <c r="L1461" s="61"/>
      <c r="M1461" s="61"/>
      <c r="N1461" s="61"/>
      <c r="O1461" s="61"/>
      <c r="P1461" s="61"/>
      <c r="Q1461" s="61"/>
      <c r="R1461" s="61"/>
      <c r="S1461" s="61"/>
      <c r="T1461" s="61"/>
      <c r="U1461" s="61"/>
      <c r="V1461" s="61"/>
      <c r="W1461" s="61"/>
      <c r="X1461" s="61"/>
      <c r="Y1461" s="61"/>
      <c r="Z1461" s="61"/>
    </row>
    <row r="1462" ht="15.75" customHeight="1">
      <c r="A1462" s="61"/>
      <c r="B1462" s="61"/>
      <c r="C1462" s="61"/>
      <c r="D1462" s="61"/>
      <c r="E1462" s="61"/>
      <c r="F1462" s="61"/>
      <c r="G1462" s="61" t="str">
        <f>IFERROR(__xludf.DUMMYFUNCTION("""COMPUTED_VALUE"""),"")</f>
        <v/>
      </c>
      <c r="H1462" s="63"/>
      <c r="I1462" s="61"/>
      <c r="J1462" s="61"/>
      <c r="K1462" s="61"/>
      <c r="L1462" s="61"/>
      <c r="M1462" s="61"/>
      <c r="N1462" s="61"/>
      <c r="O1462" s="61"/>
      <c r="P1462" s="61"/>
      <c r="Q1462" s="61"/>
      <c r="R1462" s="61"/>
      <c r="S1462" s="61"/>
      <c r="T1462" s="61"/>
      <c r="U1462" s="61"/>
      <c r="V1462" s="61"/>
      <c r="W1462" s="61"/>
      <c r="X1462" s="61"/>
      <c r="Y1462" s="61"/>
      <c r="Z1462" s="61"/>
    </row>
    <row r="1463" ht="15.75" customHeight="1">
      <c r="A1463" s="61"/>
      <c r="B1463" s="61"/>
      <c r="C1463" s="61"/>
      <c r="D1463" s="61"/>
      <c r="E1463" s="61"/>
      <c r="F1463" s="61"/>
      <c r="G1463" s="61" t="str">
        <f>IFERROR(__xludf.DUMMYFUNCTION("""COMPUTED_VALUE"""),"")</f>
        <v/>
      </c>
      <c r="H1463" s="63"/>
      <c r="I1463" s="61"/>
      <c r="J1463" s="61"/>
      <c r="K1463" s="61"/>
      <c r="L1463" s="61"/>
      <c r="M1463" s="61"/>
      <c r="N1463" s="61"/>
      <c r="O1463" s="61"/>
      <c r="P1463" s="61"/>
      <c r="Q1463" s="61"/>
      <c r="R1463" s="61"/>
      <c r="S1463" s="61"/>
      <c r="T1463" s="61"/>
      <c r="U1463" s="61"/>
      <c r="V1463" s="61"/>
      <c r="W1463" s="61"/>
      <c r="X1463" s="61"/>
      <c r="Y1463" s="61"/>
      <c r="Z1463" s="61"/>
    </row>
    <row r="1464" ht="15.75" customHeight="1">
      <c r="A1464" s="61"/>
      <c r="B1464" s="61"/>
      <c r="C1464" s="61"/>
      <c r="D1464" s="61"/>
      <c r="E1464" s="61"/>
      <c r="F1464" s="61"/>
      <c r="G1464" s="61" t="str">
        <f>IFERROR(__xludf.DUMMYFUNCTION("""COMPUTED_VALUE"""),"")</f>
        <v/>
      </c>
      <c r="H1464" s="63"/>
      <c r="I1464" s="61"/>
      <c r="J1464" s="61"/>
      <c r="K1464" s="61"/>
      <c r="L1464" s="61"/>
      <c r="M1464" s="61"/>
      <c r="N1464" s="61"/>
      <c r="O1464" s="61"/>
      <c r="P1464" s="61"/>
      <c r="Q1464" s="61"/>
      <c r="R1464" s="61"/>
      <c r="S1464" s="61"/>
      <c r="T1464" s="61"/>
      <c r="U1464" s="61"/>
      <c r="V1464" s="61"/>
      <c r="W1464" s="61"/>
      <c r="X1464" s="61"/>
      <c r="Y1464" s="61"/>
      <c r="Z1464" s="61"/>
    </row>
    <row r="1465" ht="15.75" customHeight="1">
      <c r="A1465" s="61"/>
      <c r="B1465" s="61"/>
      <c r="C1465" s="61"/>
      <c r="D1465" s="61"/>
      <c r="E1465" s="61"/>
      <c r="F1465" s="61"/>
      <c r="G1465" s="61" t="str">
        <f>IFERROR(__xludf.DUMMYFUNCTION("""COMPUTED_VALUE"""),"")</f>
        <v/>
      </c>
      <c r="H1465" s="63"/>
      <c r="I1465" s="61"/>
      <c r="J1465" s="61"/>
      <c r="K1465" s="61"/>
      <c r="L1465" s="61"/>
      <c r="M1465" s="61"/>
      <c r="N1465" s="61"/>
      <c r="O1465" s="61"/>
      <c r="P1465" s="61"/>
      <c r="Q1465" s="61"/>
      <c r="R1465" s="61"/>
      <c r="S1465" s="61"/>
      <c r="T1465" s="61"/>
      <c r="U1465" s="61"/>
      <c r="V1465" s="61"/>
      <c r="W1465" s="61"/>
      <c r="X1465" s="61"/>
      <c r="Y1465" s="61"/>
      <c r="Z1465" s="61"/>
    </row>
    <row r="1466" ht="15.75" customHeight="1">
      <c r="A1466" s="61"/>
      <c r="B1466" s="61"/>
      <c r="C1466" s="61"/>
      <c r="D1466" s="61"/>
      <c r="E1466" s="61"/>
      <c r="F1466" s="61"/>
      <c r="G1466" s="61" t="str">
        <f>IFERROR(__xludf.DUMMYFUNCTION("""COMPUTED_VALUE"""),"")</f>
        <v/>
      </c>
      <c r="H1466" s="63"/>
      <c r="I1466" s="61"/>
      <c r="J1466" s="61"/>
      <c r="K1466" s="61"/>
      <c r="L1466" s="61"/>
      <c r="M1466" s="61"/>
      <c r="N1466" s="61"/>
      <c r="O1466" s="61"/>
      <c r="P1466" s="61"/>
      <c r="Q1466" s="61"/>
      <c r="R1466" s="61"/>
      <c r="S1466" s="61"/>
      <c r="T1466" s="61"/>
      <c r="U1466" s="61"/>
      <c r="V1466" s="61"/>
      <c r="W1466" s="61"/>
      <c r="X1466" s="61"/>
      <c r="Y1466" s="61"/>
      <c r="Z1466" s="61"/>
    </row>
    <row r="1467" ht="15.75" customHeight="1">
      <c r="A1467" s="61"/>
      <c r="B1467" s="61"/>
      <c r="C1467" s="61"/>
      <c r="D1467" s="61"/>
      <c r="E1467" s="61"/>
      <c r="F1467" s="61"/>
      <c r="G1467" s="61" t="str">
        <f>IFERROR(__xludf.DUMMYFUNCTION("""COMPUTED_VALUE"""),"")</f>
        <v/>
      </c>
      <c r="H1467" s="63"/>
      <c r="I1467" s="61"/>
      <c r="J1467" s="61"/>
      <c r="K1467" s="61"/>
      <c r="L1467" s="61"/>
      <c r="M1467" s="61"/>
      <c r="N1467" s="61"/>
      <c r="O1467" s="61"/>
      <c r="P1467" s="61"/>
      <c r="Q1467" s="61"/>
      <c r="R1467" s="61"/>
      <c r="S1467" s="61"/>
      <c r="T1467" s="61"/>
      <c r="U1467" s="61"/>
      <c r="V1467" s="61"/>
      <c r="W1467" s="61"/>
      <c r="X1467" s="61"/>
      <c r="Y1467" s="61"/>
      <c r="Z1467" s="61"/>
    </row>
    <row r="1468" ht="15.75" customHeight="1">
      <c r="A1468" s="61"/>
      <c r="B1468" s="61"/>
      <c r="C1468" s="61"/>
      <c r="D1468" s="61"/>
      <c r="E1468" s="61"/>
      <c r="F1468" s="61"/>
      <c r="G1468" s="61" t="str">
        <f>IFERROR(__xludf.DUMMYFUNCTION("""COMPUTED_VALUE"""),"")</f>
        <v/>
      </c>
      <c r="H1468" s="63"/>
      <c r="I1468" s="61"/>
      <c r="J1468" s="61"/>
      <c r="K1468" s="61"/>
      <c r="L1468" s="61"/>
      <c r="M1468" s="61"/>
      <c r="N1468" s="61"/>
      <c r="O1468" s="61"/>
      <c r="P1468" s="61"/>
      <c r="Q1468" s="61"/>
      <c r="R1468" s="61"/>
      <c r="S1468" s="61"/>
      <c r="T1468" s="61"/>
      <c r="U1468" s="61"/>
      <c r="V1468" s="61"/>
      <c r="W1468" s="61"/>
      <c r="X1468" s="61"/>
      <c r="Y1468" s="61"/>
      <c r="Z1468" s="61"/>
    </row>
    <row r="1469" ht="15.75" customHeight="1">
      <c r="A1469" s="61"/>
      <c r="B1469" s="61"/>
      <c r="C1469" s="61"/>
      <c r="D1469" s="61"/>
      <c r="E1469" s="61"/>
      <c r="F1469" s="61"/>
      <c r="G1469" s="61" t="str">
        <f>IFERROR(__xludf.DUMMYFUNCTION("""COMPUTED_VALUE"""),"")</f>
        <v/>
      </c>
      <c r="H1469" s="63"/>
      <c r="I1469" s="61"/>
      <c r="J1469" s="61"/>
      <c r="K1469" s="61"/>
      <c r="L1469" s="61"/>
      <c r="M1469" s="61"/>
      <c r="N1469" s="61"/>
      <c r="O1469" s="61"/>
      <c r="P1469" s="61"/>
      <c r="Q1469" s="61"/>
      <c r="R1469" s="61"/>
      <c r="S1469" s="61"/>
      <c r="T1469" s="61"/>
      <c r="U1469" s="61"/>
      <c r="V1469" s="61"/>
      <c r="W1469" s="61"/>
      <c r="X1469" s="61"/>
      <c r="Y1469" s="61"/>
      <c r="Z1469" s="61"/>
    </row>
    <row r="1470" ht="15.75" customHeight="1">
      <c r="A1470" s="61"/>
      <c r="B1470" s="61"/>
      <c r="C1470" s="61"/>
      <c r="D1470" s="61"/>
      <c r="E1470" s="61"/>
      <c r="F1470" s="61"/>
      <c r="G1470" s="61" t="str">
        <f>IFERROR(__xludf.DUMMYFUNCTION("""COMPUTED_VALUE"""),"")</f>
        <v/>
      </c>
      <c r="H1470" s="63"/>
      <c r="I1470" s="61"/>
      <c r="J1470" s="61"/>
      <c r="K1470" s="61"/>
      <c r="L1470" s="61"/>
      <c r="M1470" s="61"/>
      <c r="N1470" s="61"/>
      <c r="O1470" s="61"/>
      <c r="P1470" s="61"/>
      <c r="Q1470" s="61"/>
      <c r="R1470" s="61"/>
      <c r="S1470" s="61"/>
      <c r="T1470" s="61"/>
      <c r="U1470" s="61"/>
      <c r="V1470" s="61"/>
      <c r="W1470" s="61"/>
      <c r="X1470" s="61"/>
      <c r="Y1470" s="61"/>
      <c r="Z1470" s="61"/>
    </row>
    <row r="1471" ht="15.75" customHeight="1">
      <c r="A1471" s="61"/>
      <c r="B1471" s="61"/>
      <c r="C1471" s="61"/>
      <c r="D1471" s="61"/>
      <c r="E1471" s="61"/>
      <c r="F1471" s="61"/>
      <c r="G1471" s="61" t="str">
        <f>IFERROR(__xludf.DUMMYFUNCTION("""COMPUTED_VALUE"""),"")</f>
        <v/>
      </c>
      <c r="H1471" s="63"/>
      <c r="I1471" s="61"/>
      <c r="J1471" s="61"/>
      <c r="K1471" s="61"/>
      <c r="L1471" s="61"/>
      <c r="M1471" s="61"/>
      <c r="N1471" s="61"/>
      <c r="O1471" s="61"/>
      <c r="P1471" s="61"/>
      <c r="Q1471" s="61"/>
      <c r="R1471" s="61"/>
      <c r="S1471" s="61"/>
      <c r="T1471" s="61"/>
      <c r="U1471" s="61"/>
      <c r="V1471" s="61"/>
      <c r="W1471" s="61"/>
      <c r="X1471" s="61"/>
      <c r="Y1471" s="61"/>
      <c r="Z1471" s="61"/>
    </row>
    <row r="1472" ht="15.75" customHeight="1">
      <c r="A1472" s="61"/>
      <c r="B1472" s="61"/>
      <c r="C1472" s="61"/>
      <c r="D1472" s="61"/>
      <c r="E1472" s="61"/>
      <c r="F1472" s="61"/>
      <c r="G1472" s="61" t="str">
        <f>IFERROR(__xludf.DUMMYFUNCTION("""COMPUTED_VALUE"""),"")</f>
        <v/>
      </c>
      <c r="H1472" s="63"/>
      <c r="I1472" s="61"/>
      <c r="J1472" s="61"/>
      <c r="K1472" s="61"/>
      <c r="L1472" s="61"/>
      <c r="M1472" s="61"/>
      <c r="N1472" s="61"/>
      <c r="O1472" s="61"/>
      <c r="P1472" s="61"/>
      <c r="Q1472" s="61"/>
      <c r="R1472" s="61"/>
      <c r="S1472" s="61"/>
      <c r="T1472" s="61"/>
      <c r="U1472" s="61"/>
      <c r="V1472" s="61"/>
      <c r="W1472" s="61"/>
      <c r="X1472" s="61"/>
      <c r="Y1472" s="61"/>
      <c r="Z1472" s="61"/>
    </row>
    <row r="1473" ht="15.75" customHeight="1">
      <c r="A1473" s="61"/>
      <c r="B1473" s="61"/>
      <c r="C1473" s="61"/>
      <c r="D1473" s="61"/>
      <c r="E1473" s="61"/>
      <c r="F1473" s="61"/>
      <c r="G1473" s="61" t="str">
        <f>IFERROR(__xludf.DUMMYFUNCTION("""COMPUTED_VALUE"""),"")</f>
        <v/>
      </c>
      <c r="H1473" s="63"/>
      <c r="I1473" s="61"/>
      <c r="J1473" s="61"/>
      <c r="K1473" s="61"/>
      <c r="L1473" s="61"/>
      <c r="M1473" s="61"/>
      <c r="N1473" s="61"/>
      <c r="O1473" s="61"/>
      <c r="P1473" s="61"/>
      <c r="Q1473" s="61"/>
      <c r="R1473" s="61"/>
      <c r="S1473" s="61"/>
      <c r="T1473" s="61"/>
      <c r="U1473" s="61"/>
      <c r="V1473" s="61"/>
      <c r="W1473" s="61"/>
      <c r="X1473" s="61"/>
      <c r="Y1473" s="61"/>
      <c r="Z1473" s="61"/>
    </row>
    <row r="1474" ht="15.75" customHeight="1">
      <c r="A1474" s="61"/>
      <c r="B1474" s="61"/>
      <c r="C1474" s="61"/>
      <c r="D1474" s="61"/>
      <c r="E1474" s="61"/>
      <c r="F1474" s="61"/>
      <c r="G1474" s="61" t="str">
        <f>IFERROR(__xludf.DUMMYFUNCTION("""COMPUTED_VALUE"""),"")</f>
        <v/>
      </c>
      <c r="H1474" s="63"/>
      <c r="I1474" s="61"/>
      <c r="J1474" s="61"/>
      <c r="K1474" s="61"/>
      <c r="L1474" s="61"/>
      <c r="M1474" s="61"/>
      <c r="N1474" s="61"/>
      <c r="O1474" s="61"/>
      <c r="P1474" s="61"/>
      <c r="Q1474" s="61"/>
      <c r="R1474" s="61"/>
      <c r="S1474" s="61"/>
      <c r="T1474" s="61"/>
      <c r="U1474" s="61"/>
      <c r="V1474" s="61"/>
      <c r="W1474" s="61"/>
      <c r="X1474" s="61"/>
      <c r="Y1474" s="61"/>
      <c r="Z1474" s="61"/>
    </row>
    <row r="1475" ht="15.75" customHeight="1">
      <c r="A1475" s="61"/>
      <c r="B1475" s="61"/>
      <c r="C1475" s="61"/>
      <c r="D1475" s="61"/>
      <c r="E1475" s="61"/>
      <c r="F1475" s="61"/>
      <c r="G1475" s="61" t="str">
        <f>IFERROR(__xludf.DUMMYFUNCTION("""COMPUTED_VALUE"""),"")</f>
        <v/>
      </c>
      <c r="H1475" s="63"/>
      <c r="I1475" s="61"/>
      <c r="J1475" s="61"/>
      <c r="K1475" s="61"/>
      <c r="L1475" s="61"/>
      <c r="M1475" s="61"/>
      <c r="N1475" s="61"/>
      <c r="O1475" s="61"/>
      <c r="P1475" s="61"/>
      <c r="Q1475" s="61"/>
      <c r="R1475" s="61"/>
      <c r="S1475" s="61"/>
      <c r="T1475" s="61"/>
      <c r="U1475" s="61"/>
      <c r="V1475" s="61"/>
      <c r="W1475" s="61"/>
      <c r="X1475" s="61"/>
      <c r="Y1475" s="61"/>
      <c r="Z1475" s="61"/>
    </row>
    <row r="1476" ht="15.75" customHeight="1">
      <c r="A1476" s="61"/>
      <c r="B1476" s="61"/>
      <c r="C1476" s="61"/>
      <c r="D1476" s="61"/>
      <c r="E1476" s="61"/>
      <c r="F1476" s="61"/>
      <c r="G1476" s="61" t="str">
        <f>IFERROR(__xludf.DUMMYFUNCTION("""COMPUTED_VALUE"""),"")</f>
        <v/>
      </c>
      <c r="H1476" s="63"/>
      <c r="I1476" s="61"/>
      <c r="J1476" s="61"/>
      <c r="K1476" s="61"/>
      <c r="L1476" s="61"/>
      <c r="M1476" s="61"/>
      <c r="N1476" s="61"/>
      <c r="O1476" s="61"/>
      <c r="P1476" s="61"/>
      <c r="Q1476" s="61"/>
      <c r="R1476" s="61"/>
      <c r="S1476" s="61"/>
      <c r="T1476" s="61"/>
      <c r="U1476" s="61"/>
      <c r="V1476" s="61"/>
      <c r="W1476" s="61"/>
      <c r="X1476" s="61"/>
      <c r="Y1476" s="61"/>
      <c r="Z1476" s="61"/>
    </row>
    <row r="1477" ht="15.75" customHeight="1">
      <c r="A1477" s="61"/>
      <c r="B1477" s="61"/>
      <c r="C1477" s="61"/>
      <c r="D1477" s="61"/>
      <c r="E1477" s="61"/>
      <c r="F1477" s="61"/>
      <c r="G1477" s="61" t="str">
        <f>IFERROR(__xludf.DUMMYFUNCTION("""COMPUTED_VALUE"""),"")</f>
        <v/>
      </c>
      <c r="H1477" s="63"/>
      <c r="I1477" s="61"/>
      <c r="J1477" s="61"/>
      <c r="K1477" s="61"/>
      <c r="L1477" s="61"/>
      <c r="M1477" s="61"/>
      <c r="N1477" s="61"/>
      <c r="O1477" s="61"/>
      <c r="P1477" s="61"/>
      <c r="Q1477" s="61"/>
      <c r="R1477" s="61"/>
      <c r="S1477" s="61"/>
      <c r="T1477" s="61"/>
      <c r="U1477" s="61"/>
      <c r="V1477" s="61"/>
      <c r="W1477" s="61"/>
      <c r="X1477" s="61"/>
      <c r="Y1477" s="61"/>
      <c r="Z1477" s="61"/>
    </row>
    <row r="1478" ht="15.75" customHeight="1">
      <c r="A1478" s="61"/>
      <c r="B1478" s="61"/>
      <c r="C1478" s="61"/>
      <c r="D1478" s="61"/>
      <c r="E1478" s="61"/>
      <c r="F1478" s="61"/>
      <c r="G1478" s="61" t="str">
        <f>IFERROR(__xludf.DUMMYFUNCTION("""COMPUTED_VALUE"""),"")</f>
        <v/>
      </c>
      <c r="H1478" s="63"/>
      <c r="I1478" s="61"/>
      <c r="J1478" s="61"/>
      <c r="K1478" s="61"/>
      <c r="L1478" s="61"/>
      <c r="M1478" s="61"/>
      <c r="N1478" s="61"/>
      <c r="O1478" s="61"/>
      <c r="P1478" s="61"/>
      <c r="Q1478" s="61"/>
      <c r="R1478" s="61"/>
      <c r="S1478" s="61"/>
      <c r="T1478" s="61"/>
      <c r="U1478" s="61"/>
      <c r="V1478" s="61"/>
      <c r="W1478" s="61"/>
      <c r="X1478" s="61"/>
      <c r="Y1478" s="61"/>
      <c r="Z1478" s="61"/>
    </row>
    <row r="1479" ht="15.75" customHeight="1">
      <c r="A1479" s="61"/>
      <c r="B1479" s="61"/>
      <c r="C1479" s="61"/>
      <c r="D1479" s="61"/>
      <c r="E1479" s="61"/>
      <c r="F1479" s="61"/>
      <c r="G1479" s="61" t="str">
        <f>IFERROR(__xludf.DUMMYFUNCTION("""COMPUTED_VALUE"""),"")</f>
        <v/>
      </c>
      <c r="H1479" s="63"/>
      <c r="I1479" s="61"/>
      <c r="J1479" s="61"/>
      <c r="K1479" s="61"/>
      <c r="L1479" s="61"/>
      <c r="M1479" s="61"/>
      <c r="N1479" s="61"/>
      <c r="O1479" s="61"/>
      <c r="P1479" s="61"/>
      <c r="Q1479" s="61"/>
      <c r="R1479" s="61"/>
      <c r="S1479" s="61"/>
      <c r="T1479" s="61"/>
      <c r="U1479" s="61"/>
      <c r="V1479" s="61"/>
      <c r="W1479" s="61"/>
      <c r="X1479" s="61"/>
      <c r="Y1479" s="61"/>
      <c r="Z1479" s="61"/>
    </row>
    <row r="1480" ht="15.75" customHeight="1">
      <c r="A1480" s="61"/>
      <c r="B1480" s="61"/>
      <c r="C1480" s="61"/>
      <c r="D1480" s="61"/>
      <c r="E1480" s="61"/>
      <c r="F1480" s="61"/>
      <c r="G1480" s="61" t="str">
        <f>IFERROR(__xludf.DUMMYFUNCTION("""COMPUTED_VALUE"""),"")</f>
        <v/>
      </c>
      <c r="H1480" s="63"/>
      <c r="I1480" s="61"/>
      <c r="J1480" s="61"/>
      <c r="K1480" s="61"/>
      <c r="L1480" s="61"/>
      <c r="M1480" s="61"/>
      <c r="N1480" s="61"/>
      <c r="O1480" s="61"/>
      <c r="P1480" s="61"/>
      <c r="Q1480" s="61"/>
      <c r="R1480" s="61"/>
      <c r="S1480" s="61"/>
      <c r="T1480" s="61"/>
      <c r="U1480" s="61"/>
      <c r="V1480" s="61"/>
      <c r="W1480" s="61"/>
      <c r="X1480" s="61"/>
      <c r="Y1480" s="61"/>
      <c r="Z1480" s="61"/>
    </row>
    <row r="1481" ht="15.75" customHeight="1">
      <c r="A1481" s="61"/>
      <c r="B1481" s="61"/>
      <c r="C1481" s="61"/>
      <c r="D1481" s="61"/>
      <c r="E1481" s="61"/>
      <c r="F1481" s="61"/>
      <c r="G1481" s="61" t="str">
        <f>IFERROR(__xludf.DUMMYFUNCTION("""COMPUTED_VALUE"""),"")</f>
        <v/>
      </c>
      <c r="H1481" s="63"/>
      <c r="I1481" s="61"/>
      <c r="J1481" s="61"/>
      <c r="K1481" s="61"/>
      <c r="L1481" s="61"/>
      <c r="M1481" s="61"/>
      <c r="N1481" s="61"/>
      <c r="O1481" s="61"/>
      <c r="P1481" s="61"/>
      <c r="Q1481" s="61"/>
      <c r="R1481" s="61"/>
      <c r="S1481" s="61"/>
      <c r="T1481" s="61"/>
      <c r="U1481" s="61"/>
      <c r="V1481" s="61"/>
      <c r="W1481" s="61"/>
      <c r="X1481" s="61"/>
      <c r="Y1481" s="61"/>
      <c r="Z1481" s="61"/>
    </row>
    <row r="1482" ht="15.75" customHeight="1">
      <c r="A1482" s="61"/>
      <c r="B1482" s="61"/>
      <c r="C1482" s="61"/>
      <c r="D1482" s="61"/>
      <c r="E1482" s="61"/>
      <c r="F1482" s="61"/>
      <c r="G1482" s="61" t="str">
        <f>IFERROR(__xludf.DUMMYFUNCTION("""COMPUTED_VALUE"""),"")</f>
        <v/>
      </c>
      <c r="H1482" s="63"/>
      <c r="I1482" s="61"/>
      <c r="J1482" s="61"/>
      <c r="K1482" s="61"/>
      <c r="L1482" s="61"/>
      <c r="M1482" s="61"/>
      <c r="N1482" s="61"/>
      <c r="O1482" s="61"/>
      <c r="P1482" s="61"/>
      <c r="Q1482" s="61"/>
      <c r="R1482" s="61"/>
      <c r="S1482" s="61"/>
      <c r="T1482" s="61"/>
      <c r="U1482" s="61"/>
      <c r="V1482" s="61"/>
      <c r="W1482" s="61"/>
      <c r="X1482" s="61"/>
      <c r="Y1482" s="61"/>
      <c r="Z1482" s="61"/>
    </row>
    <row r="1483" ht="15.75" customHeight="1">
      <c r="A1483" s="61"/>
      <c r="B1483" s="61"/>
      <c r="C1483" s="61"/>
      <c r="D1483" s="61"/>
      <c r="E1483" s="61"/>
      <c r="F1483" s="61"/>
      <c r="G1483" s="61" t="str">
        <f>IFERROR(__xludf.DUMMYFUNCTION("""COMPUTED_VALUE"""),"")</f>
        <v/>
      </c>
      <c r="H1483" s="63"/>
      <c r="I1483" s="61"/>
      <c r="J1483" s="61"/>
      <c r="K1483" s="61"/>
      <c r="L1483" s="61"/>
      <c r="M1483" s="61"/>
      <c r="N1483" s="61"/>
      <c r="O1483" s="61"/>
      <c r="P1483" s="61"/>
      <c r="Q1483" s="61"/>
      <c r="R1483" s="61"/>
      <c r="S1483" s="61"/>
      <c r="T1483" s="61"/>
      <c r="U1483" s="61"/>
      <c r="V1483" s="61"/>
      <c r="W1483" s="61"/>
      <c r="X1483" s="61"/>
      <c r="Y1483" s="61"/>
      <c r="Z1483" s="61"/>
    </row>
    <row r="1484" ht="15.75" customHeight="1">
      <c r="A1484" s="61"/>
      <c r="B1484" s="61"/>
      <c r="C1484" s="61"/>
      <c r="D1484" s="61"/>
      <c r="E1484" s="61"/>
      <c r="F1484" s="61"/>
      <c r="G1484" s="61" t="str">
        <f>IFERROR(__xludf.DUMMYFUNCTION("""COMPUTED_VALUE"""),"")</f>
        <v/>
      </c>
      <c r="H1484" s="63"/>
      <c r="I1484" s="61"/>
      <c r="J1484" s="61"/>
      <c r="K1484" s="61"/>
      <c r="L1484" s="61"/>
      <c r="M1484" s="61"/>
      <c r="N1484" s="61"/>
      <c r="O1484" s="61"/>
      <c r="P1484" s="61"/>
      <c r="Q1484" s="61"/>
      <c r="R1484" s="61"/>
      <c r="S1484" s="61"/>
      <c r="T1484" s="61"/>
      <c r="U1484" s="61"/>
      <c r="V1484" s="61"/>
      <c r="W1484" s="61"/>
      <c r="X1484" s="61"/>
      <c r="Y1484" s="61"/>
      <c r="Z1484" s="61"/>
    </row>
    <row r="1485" ht="15.75" customHeight="1">
      <c r="A1485" s="61"/>
      <c r="B1485" s="61"/>
      <c r="C1485" s="61"/>
      <c r="D1485" s="61"/>
      <c r="E1485" s="61"/>
      <c r="F1485" s="61"/>
      <c r="G1485" s="61" t="str">
        <f>IFERROR(__xludf.DUMMYFUNCTION("""COMPUTED_VALUE"""),"")</f>
        <v/>
      </c>
      <c r="H1485" s="63"/>
      <c r="I1485" s="61"/>
      <c r="J1485" s="61"/>
      <c r="K1485" s="61"/>
      <c r="L1485" s="61"/>
      <c r="M1485" s="61"/>
      <c r="N1485" s="61"/>
      <c r="O1485" s="61"/>
      <c r="P1485" s="61"/>
      <c r="Q1485" s="61"/>
      <c r="R1485" s="61"/>
      <c r="S1485" s="61"/>
      <c r="T1485" s="61"/>
      <c r="U1485" s="61"/>
      <c r="V1485" s="61"/>
      <c r="W1485" s="61"/>
      <c r="X1485" s="61"/>
      <c r="Y1485" s="61"/>
      <c r="Z1485" s="61"/>
    </row>
    <row r="1486" ht="15.75" customHeight="1">
      <c r="A1486" s="61"/>
      <c r="B1486" s="61"/>
      <c r="C1486" s="61"/>
      <c r="D1486" s="61"/>
      <c r="E1486" s="61"/>
      <c r="F1486" s="61"/>
      <c r="G1486" s="61" t="str">
        <f>IFERROR(__xludf.DUMMYFUNCTION("""COMPUTED_VALUE"""),"")</f>
        <v/>
      </c>
      <c r="H1486" s="63"/>
      <c r="I1486" s="61"/>
      <c r="J1486" s="61"/>
      <c r="K1486" s="61"/>
      <c r="L1486" s="61"/>
      <c r="M1486" s="61"/>
      <c r="N1486" s="61"/>
      <c r="O1486" s="61"/>
      <c r="P1486" s="61"/>
      <c r="Q1486" s="61"/>
      <c r="R1486" s="61"/>
      <c r="S1486" s="61"/>
      <c r="T1486" s="61"/>
      <c r="U1486" s="61"/>
      <c r="V1486" s="61"/>
      <c r="W1486" s="61"/>
      <c r="X1486" s="61"/>
      <c r="Y1486" s="61"/>
      <c r="Z1486" s="61"/>
    </row>
    <row r="1487" ht="15.75" customHeight="1">
      <c r="A1487" s="61"/>
      <c r="B1487" s="61"/>
      <c r="C1487" s="61"/>
      <c r="D1487" s="61"/>
      <c r="E1487" s="61"/>
      <c r="F1487" s="61"/>
      <c r="G1487" s="61" t="str">
        <f>IFERROR(__xludf.DUMMYFUNCTION("""COMPUTED_VALUE"""),"")</f>
        <v/>
      </c>
      <c r="H1487" s="63"/>
      <c r="I1487" s="61"/>
      <c r="J1487" s="61"/>
      <c r="K1487" s="61"/>
      <c r="L1487" s="61"/>
      <c r="M1487" s="61"/>
      <c r="N1487" s="61"/>
      <c r="O1487" s="61"/>
      <c r="P1487" s="61"/>
      <c r="Q1487" s="61"/>
      <c r="R1487" s="61"/>
      <c r="S1487" s="61"/>
      <c r="T1487" s="61"/>
      <c r="U1487" s="61"/>
      <c r="V1487" s="61"/>
      <c r="W1487" s="61"/>
      <c r="X1487" s="61"/>
      <c r="Y1487" s="61"/>
      <c r="Z1487" s="61"/>
    </row>
    <row r="1488" ht="15.75" customHeight="1">
      <c r="A1488" s="61"/>
      <c r="B1488" s="61"/>
      <c r="C1488" s="61"/>
      <c r="D1488" s="61"/>
      <c r="E1488" s="61"/>
      <c r="F1488" s="61"/>
      <c r="G1488" s="61" t="str">
        <f>IFERROR(__xludf.DUMMYFUNCTION("""COMPUTED_VALUE"""),"")</f>
        <v/>
      </c>
      <c r="H1488" s="63"/>
      <c r="I1488" s="61"/>
      <c r="J1488" s="61"/>
      <c r="K1488" s="61"/>
      <c r="L1488" s="61"/>
      <c r="M1488" s="61"/>
      <c r="N1488" s="61"/>
      <c r="O1488" s="61"/>
      <c r="P1488" s="61"/>
      <c r="Q1488" s="61"/>
      <c r="R1488" s="61"/>
      <c r="S1488" s="61"/>
      <c r="T1488" s="61"/>
      <c r="U1488" s="61"/>
      <c r="V1488" s="61"/>
      <c r="W1488" s="61"/>
      <c r="X1488" s="61"/>
      <c r="Y1488" s="61"/>
      <c r="Z1488" s="61"/>
    </row>
    <row r="1489" ht="15.75" customHeight="1">
      <c r="A1489" s="61"/>
      <c r="B1489" s="61"/>
      <c r="C1489" s="61"/>
      <c r="D1489" s="61"/>
      <c r="E1489" s="61"/>
      <c r="F1489" s="61"/>
      <c r="G1489" s="61" t="str">
        <f>IFERROR(__xludf.DUMMYFUNCTION("""COMPUTED_VALUE"""),"")</f>
        <v/>
      </c>
      <c r="H1489" s="63"/>
      <c r="I1489" s="61"/>
      <c r="J1489" s="61"/>
      <c r="K1489" s="61"/>
      <c r="L1489" s="61"/>
      <c r="M1489" s="61"/>
      <c r="N1489" s="61"/>
      <c r="O1489" s="61"/>
      <c r="P1489" s="61"/>
      <c r="Q1489" s="61"/>
      <c r="R1489" s="61"/>
      <c r="S1489" s="61"/>
      <c r="T1489" s="61"/>
      <c r="U1489" s="61"/>
      <c r="V1489" s="61"/>
      <c r="W1489" s="61"/>
      <c r="X1489" s="61"/>
      <c r="Y1489" s="61"/>
      <c r="Z1489" s="61"/>
    </row>
    <row r="1490" ht="15.75" customHeight="1">
      <c r="A1490" s="61"/>
      <c r="B1490" s="61"/>
      <c r="C1490" s="61"/>
      <c r="D1490" s="61"/>
      <c r="E1490" s="61"/>
      <c r="F1490" s="61"/>
      <c r="G1490" s="61" t="str">
        <f>IFERROR(__xludf.DUMMYFUNCTION("""COMPUTED_VALUE"""),"")</f>
        <v/>
      </c>
      <c r="H1490" s="63"/>
      <c r="I1490" s="61"/>
      <c r="J1490" s="61"/>
      <c r="K1490" s="61"/>
      <c r="L1490" s="61"/>
      <c r="M1490" s="61"/>
      <c r="N1490" s="61"/>
      <c r="O1490" s="61"/>
      <c r="P1490" s="61"/>
      <c r="Q1490" s="61"/>
      <c r="R1490" s="61"/>
      <c r="S1490" s="61"/>
      <c r="T1490" s="61"/>
      <c r="U1490" s="61"/>
      <c r="V1490" s="61"/>
      <c r="W1490" s="61"/>
      <c r="X1490" s="61"/>
      <c r="Y1490" s="61"/>
      <c r="Z1490" s="61"/>
    </row>
    <row r="1491" ht="15.75" customHeight="1">
      <c r="A1491" s="61"/>
      <c r="B1491" s="61"/>
      <c r="C1491" s="61"/>
      <c r="D1491" s="61"/>
      <c r="E1491" s="61"/>
      <c r="F1491" s="61"/>
      <c r="G1491" s="61" t="str">
        <f>IFERROR(__xludf.DUMMYFUNCTION("""COMPUTED_VALUE"""),"")</f>
        <v/>
      </c>
      <c r="H1491" s="63"/>
      <c r="I1491" s="61"/>
      <c r="J1491" s="61"/>
      <c r="K1491" s="61"/>
      <c r="L1491" s="61"/>
      <c r="M1491" s="61"/>
      <c r="N1491" s="61"/>
      <c r="O1491" s="61"/>
      <c r="P1491" s="61"/>
      <c r="Q1491" s="61"/>
      <c r="R1491" s="61"/>
      <c r="S1491" s="61"/>
      <c r="T1491" s="61"/>
      <c r="U1491" s="61"/>
      <c r="V1491" s="61"/>
      <c r="W1491" s="61"/>
      <c r="X1491" s="61"/>
      <c r="Y1491" s="61"/>
      <c r="Z1491" s="61"/>
    </row>
    <row r="1492" ht="15.75" customHeight="1">
      <c r="A1492" s="61"/>
      <c r="B1492" s="61"/>
      <c r="C1492" s="61"/>
      <c r="D1492" s="61"/>
      <c r="E1492" s="61"/>
      <c r="F1492" s="61"/>
      <c r="G1492" s="61" t="str">
        <f>IFERROR(__xludf.DUMMYFUNCTION("""COMPUTED_VALUE"""),"")</f>
        <v/>
      </c>
      <c r="H1492" s="63"/>
      <c r="I1492" s="61"/>
      <c r="J1492" s="61"/>
      <c r="K1492" s="61"/>
      <c r="L1492" s="61"/>
      <c r="M1492" s="61"/>
      <c r="N1492" s="61"/>
      <c r="O1492" s="61"/>
      <c r="P1492" s="61"/>
      <c r="Q1492" s="61"/>
      <c r="R1492" s="61"/>
      <c r="S1492" s="61"/>
      <c r="T1492" s="61"/>
      <c r="U1492" s="61"/>
      <c r="V1492" s="61"/>
      <c r="W1492" s="61"/>
      <c r="X1492" s="61"/>
      <c r="Y1492" s="61"/>
      <c r="Z1492" s="61"/>
    </row>
    <row r="1493" ht="15.75" customHeight="1">
      <c r="A1493" s="61"/>
      <c r="B1493" s="61"/>
      <c r="C1493" s="61"/>
      <c r="D1493" s="61"/>
      <c r="E1493" s="61"/>
      <c r="F1493" s="61"/>
      <c r="G1493" s="61" t="str">
        <f>IFERROR(__xludf.DUMMYFUNCTION("""COMPUTED_VALUE"""),"")</f>
        <v/>
      </c>
      <c r="H1493" s="63"/>
      <c r="I1493" s="61"/>
      <c r="J1493" s="61"/>
      <c r="K1493" s="61"/>
      <c r="L1493" s="61"/>
      <c r="M1493" s="61"/>
      <c r="N1493" s="61"/>
      <c r="O1493" s="61"/>
      <c r="P1493" s="61"/>
      <c r="Q1493" s="61"/>
      <c r="R1493" s="61"/>
      <c r="S1493" s="61"/>
      <c r="T1493" s="61"/>
      <c r="U1493" s="61"/>
      <c r="V1493" s="61"/>
      <c r="W1493" s="61"/>
      <c r="X1493" s="61"/>
      <c r="Y1493" s="61"/>
      <c r="Z1493" s="61"/>
    </row>
    <row r="1494" ht="15.75" customHeight="1">
      <c r="A1494" s="61"/>
      <c r="B1494" s="61"/>
      <c r="C1494" s="61"/>
      <c r="D1494" s="61"/>
      <c r="E1494" s="61"/>
      <c r="F1494" s="61"/>
      <c r="G1494" s="61" t="str">
        <f>IFERROR(__xludf.DUMMYFUNCTION("""COMPUTED_VALUE"""),"")</f>
        <v/>
      </c>
      <c r="H1494" s="63"/>
      <c r="I1494" s="61"/>
      <c r="J1494" s="61"/>
      <c r="K1494" s="61"/>
      <c r="L1494" s="61"/>
      <c r="M1494" s="61"/>
      <c r="N1494" s="61"/>
      <c r="O1494" s="61"/>
      <c r="P1494" s="61"/>
      <c r="Q1494" s="61"/>
      <c r="R1494" s="61"/>
      <c r="S1494" s="61"/>
      <c r="T1494" s="61"/>
      <c r="U1494" s="61"/>
      <c r="V1494" s="61"/>
      <c r="W1494" s="61"/>
      <c r="X1494" s="61"/>
      <c r="Y1494" s="61"/>
      <c r="Z1494" s="61"/>
    </row>
    <row r="1495" ht="15.75" customHeight="1">
      <c r="A1495" s="61"/>
      <c r="B1495" s="61"/>
      <c r="C1495" s="61"/>
      <c r="D1495" s="61"/>
      <c r="E1495" s="61"/>
      <c r="F1495" s="61"/>
      <c r="G1495" s="61" t="str">
        <f>IFERROR(__xludf.DUMMYFUNCTION("""COMPUTED_VALUE"""),"")</f>
        <v/>
      </c>
      <c r="H1495" s="63"/>
      <c r="I1495" s="61"/>
      <c r="J1495" s="61"/>
      <c r="K1495" s="61"/>
      <c r="L1495" s="61"/>
      <c r="M1495" s="61"/>
      <c r="N1495" s="61"/>
      <c r="O1495" s="61"/>
      <c r="P1495" s="61"/>
      <c r="Q1495" s="61"/>
      <c r="R1495" s="61"/>
      <c r="S1495" s="61"/>
      <c r="T1495" s="61"/>
      <c r="U1495" s="61"/>
      <c r="V1495" s="61"/>
      <c r="W1495" s="61"/>
      <c r="X1495" s="61"/>
      <c r="Y1495" s="61"/>
      <c r="Z1495" s="61"/>
    </row>
    <row r="1496" ht="15.75" customHeight="1">
      <c r="A1496" s="61"/>
      <c r="B1496" s="61"/>
      <c r="C1496" s="61"/>
      <c r="D1496" s="61"/>
      <c r="E1496" s="61"/>
      <c r="F1496" s="61"/>
      <c r="G1496" s="61" t="str">
        <f>IFERROR(__xludf.DUMMYFUNCTION("""COMPUTED_VALUE"""),"")</f>
        <v/>
      </c>
      <c r="H1496" s="63"/>
      <c r="I1496" s="61"/>
      <c r="J1496" s="61"/>
      <c r="K1496" s="61"/>
      <c r="L1496" s="61"/>
      <c r="M1496" s="61"/>
      <c r="N1496" s="61"/>
      <c r="O1496" s="61"/>
      <c r="P1496" s="61"/>
      <c r="Q1496" s="61"/>
      <c r="R1496" s="61"/>
      <c r="S1496" s="61"/>
      <c r="T1496" s="61"/>
      <c r="U1496" s="61"/>
      <c r="V1496" s="61"/>
      <c r="W1496" s="61"/>
      <c r="X1496" s="61"/>
      <c r="Y1496" s="61"/>
      <c r="Z1496" s="61"/>
    </row>
    <row r="1497" ht="15.75" customHeight="1">
      <c r="A1497" s="61"/>
      <c r="B1497" s="61"/>
      <c r="C1497" s="61"/>
      <c r="D1497" s="61"/>
      <c r="E1497" s="61"/>
      <c r="F1497" s="61"/>
      <c r="G1497" s="61" t="str">
        <f>IFERROR(__xludf.DUMMYFUNCTION("""COMPUTED_VALUE"""),"")</f>
        <v/>
      </c>
      <c r="H1497" s="63"/>
      <c r="I1497" s="61"/>
      <c r="J1497" s="61"/>
      <c r="K1497" s="61"/>
      <c r="L1497" s="61"/>
      <c r="M1497" s="61"/>
      <c r="N1497" s="61"/>
      <c r="O1497" s="61"/>
      <c r="P1497" s="61"/>
      <c r="Q1497" s="61"/>
      <c r="R1497" s="61"/>
      <c r="S1497" s="61"/>
      <c r="T1497" s="61"/>
      <c r="U1497" s="61"/>
      <c r="V1497" s="61"/>
      <c r="W1497" s="61"/>
      <c r="X1497" s="61"/>
      <c r="Y1497" s="61"/>
      <c r="Z1497" s="61"/>
    </row>
    <row r="1498" ht="15.75" customHeight="1">
      <c r="A1498" s="61"/>
      <c r="B1498" s="61"/>
      <c r="C1498" s="61"/>
      <c r="D1498" s="61"/>
      <c r="E1498" s="61"/>
      <c r="F1498" s="61"/>
      <c r="G1498" s="61" t="str">
        <f>IFERROR(__xludf.DUMMYFUNCTION("""COMPUTED_VALUE"""),"")</f>
        <v/>
      </c>
      <c r="H1498" s="63"/>
      <c r="I1498" s="61"/>
      <c r="J1498" s="61"/>
      <c r="K1498" s="61"/>
      <c r="L1498" s="61"/>
      <c r="M1498" s="61"/>
      <c r="N1498" s="61"/>
      <c r="O1498" s="61"/>
      <c r="P1498" s="61"/>
      <c r="Q1498" s="61"/>
      <c r="R1498" s="61"/>
      <c r="S1498" s="61"/>
      <c r="T1498" s="61"/>
      <c r="U1498" s="61"/>
      <c r="V1498" s="61"/>
      <c r="W1498" s="61"/>
      <c r="X1498" s="61"/>
      <c r="Y1498" s="61"/>
      <c r="Z1498" s="61"/>
    </row>
    <row r="1499" ht="15.75" customHeight="1">
      <c r="A1499" s="61"/>
      <c r="B1499" s="61"/>
      <c r="C1499" s="61"/>
      <c r="D1499" s="61"/>
      <c r="E1499" s="61"/>
      <c r="F1499" s="61"/>
      <c r="G1499" s="61" t="str">
        <f>IFERROR(__xludf.DUMMYFUNCTION("""COMPUTED_VALUE"""),"")</f>
        <v/>
      </c>
      <c r="H1499" s="63"/>
      <c r="I1499" s="61"/>
      <c r="J1499" s="61"/>
      <c r="K1499" s="61"/>
      <c r="L1499" s="61"/>
      <c r="M1499" s="61"/>
      <c r="N1499" s="61"/>
      <c r="O1499" s="61"/>
      <c r="P1499" s="61"/>
      <c r="Q1499" s="61"/>
      <c r="R1499" s="61"/>
      <c r="S1499" s="61"/>
      <c r="T1499" s="61"/>
      <c r="U1499" s="61"/>
      <c r="V1499" s="61"/>
      <c r="W1499" s="61"/>
      <c r="X1499" s="61"/>
      <c r="Y1499" s="61"/>
      <c r="Z1499" s="61"/>
    </row>
    <row r="1500" ht="15.75" customHeight="1">
      <c r="A1500" s="61"/>
      <c r="B1500" s="61"/>
      <c r="C1500" s="61"/>
      <c r="D1500" s="61"/>
      <c r="E1500" s="61"/>
      <c r="F1500" s="61"/>
      <c r="G1500" s="61" t="str">
        <f>IFERROR(__xludf.DUMMYFUNCTION("""COMPUTED_VALUE"""),"")</f>
        <v/>
      </c>
      <c r="H1500" s="63"/>
      <c r="I1500" s="61"/>
      <c r="J1500" s="61"/>
      <c r="K1500" s="61"/>
      <c r="L1500" s="61"/>
      <c r="M1500" s="61"/>
      <c r="N1500" s="61"/>
      <c r="O1500" s="61"/>
      <c r="P1500" s="61"/>
      <c r="Q1500" s="61"/>
      <c r="R1500" s="61"/>
      <c r="S1500" s="61"/>
      <c r="T1500" s="61"/>
      <c r="U1500" s="61"/>
      <c r="V1500" s="61"/>
      <c r="W1500" s="61"/>
      <c r="X1500" s="61"/>
      <c r="Y1500" s="61"/>
      <c r="Z1500" s="61"/>
    </row>
    <row r="1501" ht="15.75" customHeight="1">
      <c r="A1501" s="61"/>
      <c r="B1501" s="61"/>
      <c r="C1501" s="61"/>
      <c r="D1501" s="61"/>
      <c r="E1501" s="61"/>
      <c r="F1501" s="61"/>
      <c r="G1501" s="61" t="str">
        <f>IFERROR(__xludf.DUMMYFUNCTION("""COMPUTED_VALUE"""),"")</f>
        <v/>
      </c>
      <c r="H1501" s="63"/>
      <c r="I1501" s="61"/>
      <c r="J1501" s="61"/>
      <c r="K1501" s="61"/>
      <c r="L1501" s="61"/>
      <c r="M1501" s="61"/>
      <c r="N1501" s="61"/>
      <c r="O1501" s="61"/>
      <c r="P1501" s="61"/>
      <c r="Q1501" s="61"/>
      <c r="R1501" s="61"/>
      <c r="S1501" s="61"/>
      <c r="T1501" s="61"/>
      <c r="U1501" s="61"/>
      <c r="V1501" s="61"/>
      <c r="W1501" s="61"/>
      <c r="X1501" s="61"/>
      <c r="Y1501" s="61"/>
      <c r="Z1501" s="61"/>
    </row>
    <row r="1502" ht="15.75" customHeight="1">
      <c r="A1502" s="61"/>
      <c r="B1502" s="61"/>
      <c r="C1502" s="61"/>
      <c r="D1502" s="61"/>
      <c r="E1502" s="61"/>
      <c r="F1502" s="61"/>
      <c r="G1502" s="61" t="str">
        <f>IFERROR(__xludf.DUMMYFUNCTION("""COMPUTED_VALUE"""),"")</f>
        <v/>
      </c>
      <c r="H1502" s="63"/>
      <c r="I1502" s="61"/>
      <c r="J1502" s="61"/>
      <c r="K1502" s="61"/>
      <c r="L1502" s="61"/>
      <c r="M1502" s="61"/>
      <c r="N1502" s="61"/>
      <c r="O1502" s="61"/>
      <c r="P1502" s="61"/>
      <c r="Q1502" s="61"/>
      <c r="R1502" s="61"/>
      <c r="S1502" s="61"/>
      <c r="T1502" s="61"/>
      <c r="U1502" s="61"/>
      <c r="V1502" s="61"/>
      <c r="W1502" s="61"/>
      <c r="X1502" s="61"/>
      <c r="Y1502" s="61"/>
      <c r="Z1502" s="61"/>
    </row>
    <row r="1503" ht="15.75" customHeight="1">
      <c r="A1503" s="61"/>
      <c r="B1503" s="61"/>
      <c r="C1503" s="61"/>
      <c r="D1503" s="61"/>
      <c r="E1503" s="61"/>
      <c r="F1503" s="61"/>
      <c r="G1503" s="61" t="str">
        <f>IFERROR(__xludf.DUMMYFUNCTION("""COMPUTED_VALUE"""),"")</f>
        <v/>
      </c>
      <c r="H1503" s="63"/>
      <c r="I1503" s="61"/>
      <c r="J1503" s="61"/>
      <c r="K1503" s="61"/>
      <c r="L1503" s="61"/>
      <c r="M1503" s="61"/>
      <c r="N1503" s="61"/>
      <c r="O1503" s="61"/>
      <c r="P1503" s="61"/>
      <c r="Q1503" s="61"/>
      <c r="R1503" s="61"/>
      <c r="S1503" s="61"/>
      <c r="T1503" s="61"/>
      <c r="U1503" s="61"/>
      <c r="V1503" s="61"/>
      <c r="W1503" s="61"/>
      <c r="X1503" s="61"/>
      <c r="Y1503" s="61"/>
      <c r="Z1503" s="61"/>
    </row>
    <row r="1504" ht="15.75" customHeight="1">
      <c r="A1504" s="61"/>
      <c r="B1504" s="61"/>
      <c r="C1504" s="61"/>
      <c r="D1504" s="61"/>
      <c r="E1504" s="61"/>
      <c r="F1504" s="61"/>
      <c r="G1504" s="61" t="str">
        <f>IFERROR(__xludf.DUMMYFUNCTION("""COMPUTED_VALUE"""),"")</f>
        <v/>
      </c>
      <c r="H1504" s="63"/>
      <c r="I1504" s="61"/>
      <c r="J1504" s="61"/>
      <c r="K1504" s="61"/>
      <c r="L1504" s="61"/>
      <c r="M1504" s="61"/>
      <c r="N1504" s="61"/>
      <c r="O1504" s="61"/>
      <c r="P1504" s="61"/>
      <c r="Q1504" s="61"/>
      <c r="R1504" s="61"/>
      <c r="S1504" s="61"/>
      <c r="T1504" s="61"/>
      <c r="U1504" s="61"/>
      <c r="V1504" s="61"/>
      <c r="W1504" s="61"/>
      <c r="X1504" s="61"/>
      <c r="Y1504" s="61"/>
      <c r="Z1504" s="61"/>
    </row>
    <row r="1505" ht="15.75" customHeight="1">
      <c r="A1505" s="61"/>
      <c r="B1505" s="61"/>
      <c r="C1505" s="61"/>
      <c r="D1505" s="61"/>
      <c r="E1505" s="61"/>
      <c r="F1505" s="61"/>
      <c r="G1505" s="61" t="str">
        <f>IFERROR(__xludf.DUMMYFUNCTION("""COMPUTED_VALUE"""),"")</f>
        <v/>
      </c>
      <c r="H1505" s="63"/>
      <c r="I1505" s="61"/>
      <c r="J1505" s="61"/>
      <c r="K1505" s="61"/>
      <c r="L1505" s="61"/>
      <c r="M1505" s="61"/>
      <c r="N1505" s="61"/>
      <c r="O1505" s="61"/>
      <c r="P1505" s="61"/>
      <c r="Q1505" s="61"/>
      <c r="R1505" s="61"/>
      <c r="S1505" s="61"/>
      <c r="T1505" s="61"/>
      <c r="U1505" s="61"/>
      <c r="V1505" s="61"/>
      <c r="W1505" s="61"/>
      <c r="X1505" s="61"/>
      <c r="Y1505" s="61"/>
      <c r="Z1505" s="61"/>
    </row>
    <row r="1506" ht="15.75" customHeight="1">
      <c r="A1506" s="61"/>
      <c r="B1506" s="61"/>
      <c r="C1506" s="61"/>
      <c r="D1506" s="61"/>
      <c r="E1506" s="61"/>
      <c r="F1506" s="61"/>
      <c r="G1506" s="61"/>
      <c r="H1506" s="63"/>
      <c r="I1506" s="61"/>
      <c r="J1506" s="61"/>
      <c r="K1506" s="61"/>
      <c r="L1506" s="61"/>
      <c r="M1506" s="61"/>
      <c r="N1506" s="61"/>
      <c r="O1506" s="61"/>
      <c r="P1506" s="61"/>
      <c r="Q1506" s="61"/>
      <c r="R1506" s="61"/>
      <c r="S1506" s="61"/>
      <c r="T1506" s="61"/>
      <c r="U1506" s="61"/>
      <c r="V1506" s="61"/>
      <c r="W1506" s="61"/>
      <c r="X1506" s="61"/>
      <c r="Y1506" s="61"/>
      <c r="Z1506" s="61"/>
    </row>
    <row r="1507" ht="15.75" customHeight="1">
      <c r="A1507" s="61"/>
      <c r="B1507" s="61"/>
      <c r="C1507" s="61"/>
      <c r="D1507" s="61"/>
      <c r="E1507" s="61"/>
      <c r="F1507" s="61"/>
      <c r="G1507" s="61"/>
      <c r="H1507" s="63"/>
      <c r="I1507" s="61"/>
      <c r="J1507" s="61"/>
      <c r="K1507" s="61"/>
      <c r="L1507" s="61"/>
      <c r="M1507" s="61"/>
      <c r="N1507" s="61"/>
      <c r="O1507" s="61"/>
      <c r="P1507" s="61"/>
      <c r="Q1507" s="61"/>
      <c r="R1507" s="61"/>
      <c r="S1507" s="61"/>
      <c r="T1507" s="61"/>
      <c r="U1507" s="61"/>
      <c r="V1507" s="61"/>
      <c r="W1507" s="61"/>
      <c r="X1507" s="61"/>
      <c r="Y1507" s="61"/>
      <c r="Z1507" s="61"/>
    </row>
    <row r="1508" ht="15.75" customHeight="1">
      <c r="A1508" s="61"/>
      <c r="B1508" s="61"/>
      <c r="C1508" s="61"/>
      <c r="D1508" s="61"/>
      <c r="E1508" s="61"/>
      <c r="F1508" s="61"/>
      <c r="G1508" s="61"/>
      <c r="H1508" s="63"/>
      <c r="I1508" s="61"/>
      <c r="J1508" s="61"/>
      <c r="K1508" s="61"/>
      <c r="L1508" s="61"/>
      <c r="M1508" s="61"/>
      <c r="N1508" s="61"/>
      <c r="O1508" s="61"/>
      <c r="P1508" s="61"/>
      <c r="Q1508" s="61"/>
      <c r="R1508" s="61"/>
      <c r="S1508" s="61"/>
      <c r="T1508" s="61"/>
      <c r="U1508" s="61"/>
      <c r="V1508" s="61"/>
      <c r="W1508" s="61"/>
      <c r="X1508" s="61"/>
      <c r="Y1508" s="61"/>
      <c r="Z1508" s="61"/>
    </row>
    <row r="1509" ht="15.75" customHeight="1">
      <c r="A1509" s="61"/>
      <c r="B1509" s="61"/>
      <c r="C1509" s="61"/>
      <c r="D1509" s="61"/>
      <c r="E1509" s="61"/>
      <c r="F1509" s="61"/>
      <c r="G1509" s="61"/>
      <c r="H1509" s="63"/>
      <c r="I1509" s="61"/>
      <c r="J1509" s="61"/>
      <c r="K1509" s="61"/>
      <c r="L1509" s="61"/>
      <c r="M1509" s="61"/>
      <c r="N1509" s="61"/>
      <c r="O1509" s="61"/>
      <c r="P1509" s="61"/>
      <c r="Q1509" s="61"/>
      <c r="R1509" s="61"/>
      <c r="S1509" s="61"/>
      <c r="T1509" s="61"/>
      <c r="U1509" s="61"/>
      <c r="V1509" s="61"/>
      <c r="W1509" s="61"/>
      <c r="X1509" s="61"/>
      <c r="Y1509" s="61"/>
      <c r="Z1509" s="61"/>
    </row>
    <row r="1510" ht="15.75" customHeight="1">
      <c r="A1510" s="61"/>
      <c r="B1510" s="61"/>
      <c r="C1510" s="61"/>
      <c r="D1510" s="61"/>
      <c r="E1510" s="61"/>
      <c r="F1510" s="61"/>
      <c r="G1510" s="61"/>
      <c r="H1510" s="63"/>
      <c r="I1510" s="61"/>
      <c r="J1510" s="61"/>
      <c r="K1510" s="61"/>
      <c r="L1510" s="61"/>
      <c r="M1510" s="61"/>
      <c r="N1510" s="61"/>
      <c r="O1510" s="61"/>
      <c r="P1510" s="61"/>
      <c r="Q1510" s="61"/>
      <c r="R1510" s="61"/>
      <c r="S1510" s="61"/>
      <c r="T1510" s="61"/>
      <c r="U1510" s="61"/>
      <c r="V1510" s="61"/>
      <c r="W1510" s="61"/>
      <c r="X1510" s="61"/>
      <c r="Y1510" s="61"/>
      <c r="Z1510" s="61"/>
    </row>
    <row r="1511" ht="15.75" customHeight="1">
      <c r="A1511" s="61"/>
      <c r="B1511" s="61"/>
      <c r="C1511" s="61"/>
      <c r="D1511" s="61"/>
      <c r="E1511" s="61"/>
      <c r="F1511" s="61"/>
      <c r="G1511" s="61"/>
      <c r="H1511" s="63"/>
      <c r="I1511" s="61"/>
      <c r="J1511" s="61"/>
      <c r="K1511" s="61"/>
      <c r="L1511" s="61"/>
      <c r="M1511" s="61"/>
      <c r="N1511" s="61"/>
      <c r="O1511" s="61"/>
      <c r="P1511" s="61"/>
      <c r="Q1511" s="61"/>
      <c r="R1511" s="61"/>
      <c r="S1511" s="61"/>
      <c r="T1511" s="61"/>
      <c r="U1511" s="61"/>
      <c r="V1511" s="61"/>
      <c r="W1511" s="61"/>
      <c r="X1511" s="61"/>
      <c r="Y1511" s="61"/>
      <c r="Z1511" s="61"/>
    </row>
    <row r="1512" ht="15.75" customHeight="1">
      <c r="A1512" s="61"/>
      <c r="B1512" s="61"/>
      <c r="C1512" s="61"/>
      <c r="D1512" s="61"/>
      <c r="E1512" s="61"/>
      <c r="F1512" s="61"/>
      <c r="G1512" s="61"/>
      <c r="H1512" s="63"/>
      <c r="I1512" s="61"/>
      <c r="J1512" s="61"/>
      <c r="K1512" s="61"/>
      <c r="L1512" s="61"/>
      <c r="M1512" s="61"/>
      <c r="N1512" s="61"/>
      <c r="O1512" s="61"/>
      <c r="P1512" s="61"/>
      <c r="Q1512" s="61"/>
      <c r="R1512" s="61"/>
      <c r="S1512" s="61"/>
      <c r="T1512" s="61"/>
      <c r="U1512" s="61"/>
      <c r="V1512" s="61"/>
      <c r="W1512" s="61"/>
      <c r="X1512" s="61"/>
      <c r="Y1512" s="61"/>
      <c r="Z1512" s="61"/>
    </row>
    <row r="1513" ht="15.75" customHeight="1">
      <c r="A1513" s="61"/>
      <c r="B1513" s="61"/>
      <c r="C1513" s="61"/>
      <c r="D1513" s="61"/>
      <c r="E1513" s="61"/>
      <c r="F1513" s="61"/>
      <c r="G1513" s="61"/>
      <c r="H1513" s="63"/>
      <c r="I1513" s="61"/>
      <c r="J1513" s="61"/>
      <c r="K1513" s="61"/>
      <c r="L1513" s="61"/>
      <c r="M1513" s="61"/>
      <c r="N1513" s="61"/>
      <c r="O1513" s="61"/>
      <c r="P1513" s="61"/>
      <c r="Q1513" s="61"/>
      <c r="R1513" s="61"/>
      <c r="S1513" s="61"/>
      <c r="T1513" s="61"/>
      <c r="U1513" s="61"/>
      <c r="V1513" s="61"/>
      <c r="W1513" s="61"/>
      <c r="X1513" s="61"/>
      <c r="Y1513" s="61"/>
      <c r="Z1513" s="61"/>
    </row>
    <row r="1514" ht="15.75" customHeight="1">
      <c r="A1514" s="61"/>
      <c r="B1514" s="61"/>
      <c r="C1514" s="61"/>
      <c r="D1514" s="61"/>
      <c r="E1514" s="61"/>
      <c r="F1514" s="61"/>
      <c r="G1514" s="61"/>
      <c r="H1514" s="63"/>
      <c r="I1514" s="61"/>
      <c r="J1514" s="61"/>
      <c r="K1514" s="61"/>
      <c r="L1514" s="61"/>
      <c r="M1514" s="61"/>
      <c r="N1514" s="61"/>
      <c r="O1514" s="61"/>
      <c r="P1514" s="61"/>
      <c r="Q1514" s="61"/>
      <c r="R1514" s="61"/>
      <c r="S1514" s="61"/>
      <c r="T1514" s="61"/>
      <c r="U1514" s="61"/>
      <c r="V1514" s="61"/>
      <c r="W1514" s="61"/>
      <c r="X1514" s="61"/>
      <c r="Y1514" s="61"/>
      <c r="Z1514" s="61"/>
    </row>
    <row r="1515" ht="15.75" customHeight="1">
      <c r="A1515" s="61"/>
      <c r="B1515" s="61"/>
      <c r="C1515" s="61"/>
      <c r="D1515" s="61"/>
      <c r="E1515" s="61"/>
      <c r="F1515" s="61"/>
      <c r="G1515" s="61"/>
      <c r="H1515" s="63"/>
      <c r="I1515" s="61"/>
      <c r="J1515" s="61"/>
      <c r="K1515" s="61"/>
      <c r="L1515" s="61"/>
      <c r="M1515" s="61"/>
      <c r="N1515" s="61"/>
      <c r="O1515" s="61"/>
      <c r="P1515" s="61"/>
      <c r="Q1515" s="61"/>
      <c r="R1515" s="61"/>
      <c r="S1515" s="61"/>
      <c r="T1515" s="61"/>
      <c r="U1515" s="61"/>
      <c r="V1515" s="61"/>
      <c r="W1515" s="61"/>
      <c r="X1515" s="61"/>
      <c r="Y1515" s="61"/>
      <c r="Z1515" s="61"/>
    </row>
    <row r="1516" ht="15.75" customHeight="1">
      <c r="A1516" s="61"/>
      <c r="B1516" s="61"/>
      <c r="C1516" s="61"/>
      <c r="D1516" s="61"/>
      <c r="E1516" s="61"/>
      <c r="F1516" s="61"/>
      <c r="G1516" s="61"/>
      <c r="H1516" s="63"/>
      <c r="I1516" s="61"/>
      <c r="J1516" s="61"/>
      <c r="K1516" s="61"/>
      <c r="L1516" s="61"/>
      <c r="M1516" s="61"/>
      <c r="N1516" s="61"/>
      <c r="O1516" s="61"/>
      <c r="P1516" s="61"/>
      <c r="Q1516" s="61"/>
      <c r="R1516" s="61"/>
      <c r="S1516" s="61"/>
      <c r="T1516" s="61"/>
      <c r="U1516" s="61"/>
      <c r="V1516" s="61"/>
      <c r="W1516" s="61"/>
      <c r="X1516" s="61"/>
      <c r="Y1516" s="61"/>
      <c r="Z1516" s="61"/>
    </row>
    <row r="1517" ht="15.75" customHeight="1">
      <c r="A1517" s="61"/>
      <c r="B1517" s="61"/>
      <c r="C1517" s="61"/>
      <c r="D1517" s="61"/>
      <c r="E1517" s="61"/>
      <c r="F1517" s="61"/>
      <c r="G1517" s="61"/>
      <c r="H1517" s="63"/>
      <c r="I1517" s="61"/>
      <c r="J1517" s="61"/>
      <c r="K1517" s="61"/>
      <c r="L1517" s="61"/>
      <c r="M1517" s="61"/>
      <c r="N1517" s="61"/>
      <c r="O1517" s="61"/>
      <c r="P1517" s="61"/>
      <c r="Q1517" s="61"/>
      <c r="R1517" s="61"/>
      <c r="S1517" s="61"/>
      <c r="T1517" s="61"/>
      <c r="U1517" s="61"/>
      <c r="V1517" s="61"/>
      <c r="W1517" s="61"/>
      <c r="X1517" s="61"/>
      <c r="Y1517" s="61"/>
      <c r="Z1517" s="61"/>
    </row>
    <row r="1518" ht="15.75" customHeight="1">
      <c r="A1518" s="61"/>
      <c r="B1518" s="61"/>
      <c r="C1518" s="61"/>
      <c r="D1518" s="61"/>
      <c r="E1518" s="61"/>
      <c r="F1518" s="61"/>
      <c r="G1518" s="61"/>
      <c r="H1518" s="63"/>
      <c r="I1518" s="61"/>
      <c r="J1518" s="61"/>
      <c r="K1518" s="61"/>
      <c r="L1518" s="61"/>
      <c r="M1518" s="61"/>
      <c r="N1518" s="61"/>
      <c r="O1518" s="61"/>
      <c r="P1518" s="61"/>
      <c r="Q1518" s="61"/>
      <c r="R1518" s="61"/>
      <c r="S1518" s="61"/>
      <c r="T1518" s="61"/>
      <c r="U1518" s="61"/>
      <c r="V1518" s="61"/>
      <c r="W1518" s="61"/>
      <c r="X1518" s="61"/>
      <c r="Y1518" s="61"/>
      <c r="Z1518" s="61"/>
    </row>
    <row r="1519" ht="15.75" customHeight="1">
      <c r="A1519" s="61"/>
      <c r="B1519" s="61"/>
      <c r="C1519" s="61"/>
      <c r="D1519" s="61"/>
      <c r="E1519" s="61"/>
      <c r="F1519" s="61"/>
      <c r="G1519" s="61"/>
      <c r="H1519" s="63"/>
      <c r="I1519" s="61"/>
      <c r="J1519" s="61"/>
      <c r="K1519" s="61"/>
      <c r="L1519" s="61"/>
      <c r="M1519" s="61"/>
      <c r="N1519" s="61"/>
      <c r="O1519" s="61"/>
      <c r="P1519" s="61"/>
      <c r="Q1519" s="61"/>
      <c r="R1519" s="61"/>
      <c r="S1519" s="61"/>
      <c r="T1519" s="61"/>
      <c r="U1519" s="61"/>
      <c r="V1519" s="61"/>
      <c r="W1519" s="61"/>
      <c r="X1519" s="61"/>
      <c r="Y1519" s="61"/>
      <c r="Z1519" s="61"/>
    </row>
    <row r="1520" ht="15.75" customHeight="1">
      <c r="A1520" s="61"/>
      <c r="B1520" s="61"/>
      <c r="C1520" s="61"/>
      <c r="D1520" s="61"/>
      <c r="E1520" s="61"/>
      <c r="F1520" s="61"/>
      <c r="G1520" s="61"/>
      <c r="H1520" s="63"/>
      <c r="I1520" s="61"/>
      <c r="J1520" s="61"/>
      <c r="K1520" s="61"/>
      <c r="L1520" s="61"/>
      <c r="M1520" s="61"/>
      <c r="N1520" s="61"/>
      <c r="O1520" s="61"/>
      <c r="P1520" s="61"/>
      <c r="Q1520" s="61"/>
      <c r="R1520" s="61"/>
      <c r="S1520" s="61"/>
      <c r="T1520" s="61"/>
      <c r="U1520" s="61"/>
      <c r="V1520" s="61"/>
      <c r="W1520" s="61"/>
      <c r="X1520" s="61"/>
      <c r="Y1520" s="61"/>
      <c r="Z1520" s="61"/>
    </row>
    <row r="1521" ht="15.75" customHeight="1">
      <c r="A1521" s="61"/>
      <c r="B1521" s="61"/>
      <c r="C1521" s="61"/>
      <c r="D1521" s="61"/>
      <c r="E1521" s="61"/>
      <c r="F1521" s="61"/>
      <c r="G1521" s="61"/>
      <c r="H1521" s="63"/>
      <c r="I1521" s="61"/>
      <c r="J1521" s="61"/>
      <c r="K1521" s="61"/>
      <c r="L1521" s="61"/>
      <c r="M1521" s="61"/>
      <c r="N1521" s="61"/>
      <c r="O1521" s="61"/>
      <c r="P1521" s="61"/>
      <c r="Q1521" s="61"/>
      <c r="R1521" s="61"/>
      <c r="S1521" s="61"/>
      <c r="T1521" s="61"/>
      <c r="U1521" s="61"/>
      <c r="V1521" s="61"/>
      <c r="W1521" s="61"/>
      <c r="X1521" s="61"/>
      <c r="Y1521" s="61"/>
      <c r="Z1521" s="61"/>
    </row>
    <row r="1522" ht="15.75" customHeight="1">
      <c r="A1522" s="61"/>
      <c r="B1522" s="61"/>
      <c r="C1522" s="61"/>
      <c r="D1522" s="61"/>
      <c r="E1522" s="61"/>
      <c r="F1522" s="61"/>
      <c r="G1522" s="61"/>
      <c r="H1522" s="63"/>
      <c r="I1522" s="61"/>
      <c r="J1522" s="61"/>
      <c r="K1522" s="61"/>
      <c r="L1522" s="61"/>
      <c r="M1522" s="61"/>
      <c r="N1522" s="61"/>
      <c r="O1522" s="61"/>
      <c r="P1522" s="61"/>
      <c r="Q1522" s="61"/>
      <c r="R1522" s="61"/>
      <c r="S1522" s="61"/>
      <c r="T1522" s="61"/>
      <c r="U1522" s="61"/>
      <c r="V1522" s="61"/>
      <c r="W1522" s="61"/>
      <c r="X1522" s="61"/>
      <c r="Y1522" s="61"/>
      <c r="Z1522" s="61"/>
    </row>
    <row r="1523" ht="15.75" customHeight="1">
      <c r="A1523" s="61"/>
      <c r="B1523" s="61"/>
      <c r="C1523" s="61"/>
      <c r="D1523" s="61"/>
      <c r="E1523" s="61"/>
      <c r="F1523" s="61"/>
      <c r="G1523" s="61"/>
      <c r="H1523" s="63"/>
      <c r="I1523" s="61"/>
      <c r="J1523" s="61"/>
      <c r="K1523" s="61"/>
      <c r="L1523" s="61"/>
      <c r="M1523" s="61"/>
      <c r="N1523" s="61"/>
      <c r="O1523" s="61"/>
      <c r="P1523" s="61"/>
      <c r="Q1523" s="61"/>
      <c r="R1523" s="61"/>
      <c r="S1523" s="61"/>
      <c r="T1523" s="61"/>
      <c r="U1523" s="61"/>
      <c r="V1523" s="61"/>
      <c r="W1523" s="61"/>
      <c r="X1523" s="61"/>
      <c r="Y1523" s="61"/>
      <c r="Z1523" s="61"/>
    </row>
    <row r="1524" ht="15.75" customHeight="1">
      <c r="A1524" s="61"/>
      <c r="B1524" s="61"/>
      <c r="C1524" s="61"/>
      <c r="D1524" s="61"/>
      <c r="E1524" s="61"/>
      <c r="F1524" s="61"/>
      <c r="G1524" s="61"/>
      <c r="H1524" s="63"/>
      <c r="I1524" s="61"/>
      <c r="J1524" s="61"/>
      <c r="K1524" s="61"/>
      <c r="L1524" s="61"/>
      <c r="M1524" s="61"/>
      <c r="N1524" s="61"/>
      <c r="O1524" s="61"/>
      <c r="P1524" s="61"/>
      <c r="Q1524" s="61"/>
      <c r="R1524" s="61"/>
      <c r="S1524" s="61"/>
      <c r="T1524" s="61"/>
      <c r="U1524" s="61"/>
      <c r="V1524" s="61"/>
      <c r="W1524" s="61"/>
      <c r="X1524" s="61"/>
      <c r="Y1524" s="61"/>
      <c r="Z1524" s="61"/>
    </row>
    <row r="1525" ht="15.75" customHeight="1">
      <c r="A1525" s="61"/>
      <c r="B1525" s="61"/>
      <c r="C1525" s="61"/>
      <c r="D1525" s="61"/>
      <c r="E1525" s="61"/>
      <c r="F1525" s="61"/>
      <c r="G1525" s="61"/>
      <c r="H1525" s="63"/>
      <c r="I1525" s="61"/>
      <c r="J1525" s="61"/>
      <c r="K1525" s="61"/>
      <c r="L1525" s="61"/>
      <c r="M1525" s="61"/>
      <c r="N1525" s="61"/>
      <c r="O1525" s="61"/>
      <c r="P1525" s="61"/>
      <c r="Q1525" s="61"/>
      <c r="R1525" s="61"/>
      <c r="S1525" s="61"/>
      <c r="T1525" s="61"/>
      <c r="U1525" s="61"/>
      <c r="V1525" s="61"/>
      <c r="W1525" s="61"/>
      <c r="X1525" s="61"/>
      <c r="Y1525" s="61"/>
      <c r="Z1525" s="61"/>
    </row>
    <row r="1526" ht="15.75" customHeight="1">
      <c r="A1526" s="61"/>
      <c r="B1526" s="61"/>
      <c r="C1526" s="61"/>
      <c r="D1526" s="61"/>
      <c r="E1526" s="61"/>
      <c r="F1526" s="61"/>
      <c r="G1526" s="61"/>
      <c r="H1526" s="63"/>
      <c r="I1526" s="61"/>
      <c r="J1526" s="61"/>
      <c r="K1526" s="61"/>
      <c r="L1526" s="61"/>
      <c r="M1526" s="61"/>
      <c r="N1526" s="61"/>
      <c r="O1526" s="61"/>
      <c r="P1526" s="61"/>
      <c r="Q1526" s="61"/>
      <c r="R1526" s="61"/>
      <c r="S1526" s="61"/>
      <c r="T1526" s="61"/>
      <c r="U1526" s="61"/>
      <c r="V1526" s="61"/>
      <c r="W1526" s="61"/>
      <c r="X1526" s="61"/>
      <c r="Y1526" s="61"/>
      <c r="Z1526" s="61"/>
    </row>
    <row r="1527" ht="15.75" customHeight="1">
      <c r="A1527" s="61"/>
      <c r="B1527" s="61"/>
      <c r="C1527" s="61"/>
      <c r="D1527" s="61"/>
      <c r="E1527" s="61"/>
      <c r="F1527" s="61"/>
      <c r="G1527" s="61"/>
      <c r="H1527" s="63"/>
      <c r="I1527" s="61"/>
      <c r="J1527" s="61"/>
      <c r="K1527" s="61"/>
      <c r="L1527" s="61"/>
      <c r="M1527" s="61"/>
      <c r="N1527" s="61"/>
      <c r="O1527" s="61"/>
      <c r="P1527" s="61"/>
      <c r="Q1527" s="61"/>
      <c r="R1527" s="61"/>
      <c r="S1527" s="61"/>
      <c r="T1527" s="61"/>
      <c r="U1527" s="61"/>
      <c r="V1527" s="61"/>
      <c r="W1527" s="61"/>
      <c r="X1527" s="61"/>
      <c r="Y1527" s="61"/>
      <c r="Z1527" s="61"/>
    </row>
    <row r="1528" ht="15.75" customHeight="1">
      <c r="A1528" s="61"/>
      <c r="B1528" s="61"/>
      <c r="C1528" s="61"/>
      <c r="D1528" s="61"/>
      <c r="E1528" s="61"/>
      <c r="F1528" s="61"/>
      <c r="G1528" s="61"/>
      <c r="H1528" s="63"/>
      <c r="I1528" s="61"/>
      <c r="J1528" s="61"/>
      <c r="K1528" s="61"/>
      <c r="L1528" s="61"/>
      <c r="M1528" s="61"/>
      <c r="N1528" s="61"/>
      <c r="O1528" s="61"/>
      <c r="P1528" s="61"/>
      <c r="Q1528" s="61"/>
      <c r="R1528" s="61"/>
      <c r="S1528" s="61"/>
      <c r="T1528" s="61"/>
      <c r="U1528" s="61"/>
      <c r="V1528" s="61"/>
      <c r="W1528" s="61"/>
      <c r="X1528" s="61"/>
      <c r="Y1528" s="61"/>
      <c r="Z1528" s="61"/>
    </row>
    <row r="1529" ht="15.75" customHeight="1">
      <c r="A1529" s="61"/>
      <c r="B1529" s="61"/>
      <c r="C1529" s="61"/>
      <c r="D1529" s="61"/>
      <c r="E1529" s="61"/>
      <c r="F1529" s="61"/>
      <c r="G1529" s="61"/>
      <c r="H1529" s="63"/>
      <c r="I1529" s="61"/>
      <c r="J1529" s="61"/>
      <c r="K1529" s="61"/>
      <c r="L1529" s="61"/>
      <c r="M1529" s="61"/>
      <c r="N1529" s="61"/>
      <c r="O1529" s="61"/>
      <c r="P1529" s="61"/>
      <c r="Q1529" s="61"/>
      <c r="R1529" s="61"/>
      <c r="S1529" s="61"/>
      <c r="T1529" s="61"/>
      <c r="U1529" s="61"/>
      <c r="V1529" s="61"/>
      <c r="W1529" s="61"/>
      <c r="X1529" s="61"/>
      <c r="Y1529" s="61"/>
      <c r="Z1529" s="61"/>
    </row>
    <row r="1530" ht="15.75" customHeight="1">
      <c r="A1530" s="61"/>
      <c r="B1530" s="61"/>
      <c r="C1530" s="61"/>
      <c r="D1530" s="61"/>
      <c r="E1530" s="61"/>
      <c r="F1530" s="61"/>
      <c r="G1530" s="61"/>
      <c r="H1530" s="63"/>
      <c r="I1530" s="61"/>
      <c r="J1530" s="61"/>
      <c r="K1530" s="61"/>
      <c r="L1530" s="61"/>
      <c r="M1530" s="61"/>
      <c r="N1530" s="61"/>
      <c r="O1530" s="61"/>
      <c r="P1530" s="61"/>
      <c r="Q1530" s="61"/>
      <c r="R1530" s="61"/>
      <c r="S1530" s="61"/>
      <c r="T1530" s="61"/>
      <c r="U1530" s="61"/>
      <c r="V1530" s="61"/>
      <c r="W1530" s="61"/>
      <c r="X1530" s="61"/>
      <c r="Y1530" s="61"/>
      <c r="Z1530" s="61"/>
    </row>
    <row r="1531" ht="15.75" customHeight="1">
      <c r="A1531" s="61"/>
      <c r="B1531" s="61"/>
      <c r="C1531" s="61"/>
      <c r="D1531" s="61"/>
      <c r="E1531" s="61"/>
      <c r="F1531" s="61"/>
      <c r="G1531" s="61"/>
      <c r="H1531" s="63"/>
      <c r="I1531" s="61"/>
      <c r="J1531" s="61"/>
      <c r="K1531" s="61"/>
      <c r="L1531" s="61"/>
      <c r="M1531" s="61"/>
      <c r="N1531" s="61"/>
      <c r="O1531" s="61"/>
      <c r="P1531" s="61"/>
      <c r="Q1531" s="61"/>
      <c r="R1531" s="61"/>
      <c r="S1531" s="61"/>
      <c r="T1531" s="61"/>
      <c r="U1531" s="61"/>
      <c r="V1531" s="61"/>
      <c r="W1531" s="61"/>
      <c r="X1531" s="61"/>
      <c r="Y1531" s="61"/>
      <c r="Z1531" s="61"/>
    </row>
    <row r="1532" ht="15.75" customHeight="1">
      <c r="A1532" s="61"/>
      <c r="B1532" s="61"/>
      <c r="C1532" s="61"/>
      <c r="D1532" s="61"/>
      <c r="E1532" s="61"/>
      <c r="F1532" s="61"/>
      <c r="G1532" s="61"/>
      <c r="H1532" s="63"/>
      <c r="I1532" s="61"/>
      <c r="J1532" s="61"/>
      <c r="K1532" s="61"/>
      <c r="L1532" s="61"/>
      <c r="M1532" s="61"/>
      <c r="N1532" s="61"/>
      <c r="O1532" s="61"/>
      <c r="P1532" s="61"/>
      <c r="Q1532" s="61"/>
      <c r="R1532" s="61"/>
      <c r="S1532" s="61"/>
      <c r="T1532" s="61"/>
      <c r="U1532" s="61"/>
      <c r="V1532" s="61"/>
      <c r="W1532" s="61"/>
      <c r="X1532" s="61"/>
      <c r="Y1532" s="61"/>
      <c r="Z1532" s="61"/>
    </row>
    <row r="1533" ht="15.75" customHeight="1">
      <c r="A1533" s="61"/>
      <c r="B1533" s="61"/>
      <c r="C1533" s="61"/>
      <c r="D1533" s="61"/>
      <c r="E1533" s="61"/>
      <c r="F1533" s="61"/>
      <c r="G1533" s="61"/>
      <c r="H1533" s="63"/>
      <c r="I1533" s="61"/>
      <c r="J1533" s="61"/>
      <c r="K1533" s="61"/>
      <c r="L1533" s="61"/>
      <c r="M1533" s="61"/>
      <c r="N1533" s="61"/>
      <c r="O1533" s="61"/>
      <c r="P1533" s="61"/>
      <c r="Q1533" s="61"/>
      <c r="R1533" s="61"/>
      <c r="S1533" s="61"/>
      <c r="T1533" s="61"/>
      <c r="U1533" s="61"/>
      <c r="V1533" s="61"/>
      <c r="W1533" s="61"/>
      <c r="X1533" s="61"/>
      <c r="Y1533" s="61"/>
      <c r="Z1533" s="61"/>
    </row>
    <row r="1534" ht="15.75" customHeight="1">
      <c r="A1534" s="61"/>
      <c r="B1534" s="61"/>
      <c r="C1534" s="61"/>
      <c r="D1534" s="61"/>
      <c r="E1534" s="61"/>
      <c r="F1534" s="61"/>
      <c r="G1534" s="61"/>
      <c r="H1534" s="63"/>
      <c r="I1534" s="61"/>
      <c r="J1534" s="61"/>
      <c r="K1534" s="61"/>
      <c r="L1534" s="61"/>
      <c r="M1534" s="61"/>
      <c r="N1534" s="61"/>
      <c r="O1534" s="61"/>
      <c r="P1534" s="61"/>
      <c r="Q1534" s="61"/>
      <c r="R1534" s="61"/>
      <c r="S1534" s="61"/>
      <c r="T1534" s="61"/>
      <c r="U1534" s="61"/>
      <c r="V1534" s="61"/>
      <c r="W1534" s="61"/>
      <c r="X1534" s="61"/>
      <c r="Y1534" s="61"/>
      <c r="Z1534" s="61"/>
    </row>
    <row r="1535" ht="15.75" customHeight="1">
      <c r="A1535" s="61"/>
      <c r="B1535" s="61"/>
      <c r="C1535" s="61"/>
      <c r="D1535" s="61"/>
      <c r="E1535" s="61"/>
      <c r="F1535" s="61"/>
      <c r="G1535" s="61"/>
      <c r="H1535" s="63"/>
      <c r="I1535" s="61"/>
      <c r="J1535" s="61"/>
      <c r="K1535" s="61"/>
      <c r="L1535" s="61"/>
      <c r="M1535" s="61"/>
      <c r="N1535" s="61"/>
      <c r="O1535" s="61"/>
      <c r="P1535" s="61"/>
      <c r="Q1535" s="61"/>
      <c r="R1535" s="61"/>
      <c r="S1535" s="61"/>
      <c r="T1535" s="61"/>
      <c r="U1535" s="61"/>
      <c r="V1535" s="61"/>
      <c r="W1535" s="61"/>
      <c r="X1535" s="61"/>
      <c r="Y1535" s="61"/>
      <c r="Z1535" s="61"/>
    </row>
    <row r="1536" ht="15.75" customHeight="1">
      <c r="A1536" s="61"/>
      <c r="B1536" s="61"/>
      <c r="C1536" s="61"/>
      <c r="D1536" s="61"/>
      <c r="E1536" s="61"/>
      <c r="F1536" s="61"/>
      <c r="G1536" s="61"/>
      <c r="H1536" s="63"/>
      <c r="I1536" s="61"/>
      <c r="J1536" s="61"/>
      <c r="K1536" s="61"/>
      <c r="L1536" s="61"/>
      <c r="M1536" s="61"/>
      <c r="N1536" s="61"/>
      <c r="O1536" s="61"/>
      <c r="P1536" s="61"/>
      <c r="Q1536" s="61"/>
      <c r="R1536" s="61"/>
      <c r="S1536" s="61"/>
      <c r="T1536" s="61"/>
      <c r="U1536" s="61"/>
      <c r="V1536" s="61"/>
      <c r="W1536" s="61"/>
      <c r="X1536" s="61"/>
      <c r="Y1536" s="61"/>
      <c r="Z1536" s="61"/>
    </row>
    <row r="1537" ht="15.75" customHeight="1">
      <c r="A1537" s="61"/>
      <c r="B1537" s="61"/>
      <c r="C1537" s="61"/>
      <c r="D1537" s="61"/>
      <c r="E1537" s="61"/>
      <c r="F1537" s="61"/>
      <c r="G1537" s="61"/>
      <c r="H1537" s="63"/>
      <c r="I1537" s="61"/>
      <c r="J1537" s="61"/>
      <c r="K1537" s="61"/>
      <c r="L1537" s="61"/>
      <c r="M1537" s="61"/>
      <c r="N1537" s="61"/>
      <c r="O1537" s="61"/>
      <c r="P1537" s="61"/>
      <c r="Q1537" s="61"/>
      <c r="R1537" s="61"/>
      <c r="S1537" s="61"/>
      <c r="T1537" s="61"/>
      <c r="U1537" s="61"/>
      <c r="V1537" s="61"/>
      <c r="W1537" s="61"/>
      <c r="X1537" s="61"/>
      <c r="Y1537" s="61"/>
      <c r="Z1537" s="61"/>
    </row>
    <row r="1538" ht="15.75" customHeight="1">
      <c r="A1538" s="61"/>
      <c r="B1538" s="61"/>
      <c r="C1538" s="61"/>
      <c r="D1538" s="61"/>
      <c r="E1538" s="61"/>
      <c r="F1538" s="61"/>
      <c r="G1538" s="61"/>
      <c r="H1538" s="63"/>
      <c r="I1538" s="61"/>
      <c r="J1538" s="61"/>
      <c r="K1538" s="61"/>
      <c r="L1538" s="61"/>
      <c r="M1538" s="61"/>
      <c r="N1538" s="61"/>
      <c r="O1538" s="61"/>
      <c r="P1538" s="61"/>
      <c r="Q1538" s="61"/>
      <c r="R1538" s="61"/>
      <c r="S1538" s="61"/>
      <c r="T1538" s="61"/>
      <c r="U1538" s="61"/>
      <c r="V1538" s="61"/>
      <c r="W1538" s="61"/>
      <c r="X1538" s="61"/>
      <c r="Y1538" s="61"/>
      <c r="Z1538" s="61"/>
    </row>
    <row r="1539" ht="15.75" customHeight="1">
      <c r="A1539" s="61"/>
      <c r="B1539" s="61"/>
      <c r="C1539" s="61"/>
      <c r="D1539" s="61"/>
      <c r="E1539" s="61"/>
      <c r="F1539" s="61"/>
      <c r="G1539" s="61"/>
      <c r="H1539" s="63"/>
      <c r="I1539" s="61"/>
      <c r="J1539" s="61"/>
      <c r="K1539" s="61"/>
      <c r="L1539" s="61"/>
      <c r="M1539" s="61"/>
      <c r="N1539" s="61"/>
      <c r="O1539" s="61"/>
      <c r="P1539" s="61"/>
      <c r="Q1539" s="61"/>
      <c r="R1539" s="61"/>
      <c r="S1539" s="61"/>
      <c r="T1539" s="61"/>
      <c r="U1539" s="61"/>
      <c r="V1539" s="61"/>
      <c r="W1539" s="61"/>
      <c r="X1539" s="61"/>
      <c r="Y1539" s="61"/>
      <c r="Z1539" s="61"/>
    </row>
    <row r="1540" ht="15.75" customHeight="1">
      <c r="A1540" s="61"/>
      <c r="B1540" s="61"/>
      <c r="C1540" s="61"/>
      <c r="D1540" s="61"/>
      <c r="E1540" s="61"/>
      <c r="F1540" s="61"/>
      <c r="G1540" s="61"/>
      <c r="H1540" s="63"/>
      <c r="I1540" s="61"/>
      <c r="J1540" s="61"/>
      <c r="K1540" s="61"/>
      <c r="L1540" s="61"/>
      <c r="M1540" s="61"/>
      <c r="N1540" s="61"/>
      <c r="O1540" s="61"/>
      <c r="P1540" s="61"/>
      <c r="Q1540" s="61"/>
      <c r="R1540" s="61"/>
      <c r="S1540" s="61"/>
      <c r="T1540" s="61"/>
      <c r="U1540" s="61"/>
      <c r="V1540" s="61"/>
      <c r="W1540" s="61"/>
      <c r="X1540" s="61"/>
      <c r="Y1540" s="61"/>
      <c r="Z1540" s="61"/>
    </row>
    <row r="1541" ht="15.75" customHeight="1">
      <c r="A1541" s="61"/>
      <c r="B1541" s="61"/>
      <c r="C1541" s="61"/>
      <c r="D1541" s="61"/>
      <c r="E1541" s="61"/>
      <c r="F1541" s="61"/>
      <c r="G1541" s="61"/>
      <c r="H1541" s="63"/>
      <c r="I1541" s="61"/>
      <c r="J1541" s="61"/>
      <c r="K1541" s="61"/>
      <c r="L1541" s="61"/>
      <c r="M1541" s="61"/>
      <c r="N1541" s="61"/>
      <c r="O1541" s="61"/>
      <c r="P1541" s="61"/>
      <c r="Q1541" s="61"/>
      <c r="R1541" s="61"/>
      <c r="S1541" s="61"/>
      <c r="T1541" s="61"/>
      <c r="U1541" s="61"/>
      <c r="V1541" s="61"/>
      <c r="W1541" s="61"/>
      <c r="X1541" s="61"/>
      <c r="Y1541" s="61"/>
      <c r="Z1541" s="61"/>
    </row>
    <row r="1542" ht="15.75" customHeight="1">
      <c r="A1542" s="61"/>
      <c r="B1542" s="61"/>
      <c r="C1542" s="61"/>
      <c r="D1542" s="61"/>
      <c r="E1542" s="61"/>
      <c r="F1542" s="61"/>
      <c r="G1542" s="61"/>
      <c r="H1542" s="63"/>
      <c r="I1542" s="61"/>
      <c r="J1542" s="61"/>
      <c r="K1542" s="61"/>
      <c r="L1542" s="61"/>
      <c r="M1542" s="61"/>
      <c r="N1542" s="61"/>
      <c r="O1542" s="61"/>
      <c r="P1542" s="61"/>
      <c r="Q1542" s="61"/>
      <c r="R1542" s="61"/>
      <c r="S1542" s="61"/>
      <c r="T1542" s="61"/>
      <c r="U1542" s="61"/>
      <c r="V1542" s="61"/>
      <c r="W1542" s="61"/>
      <c r="X1542" s="61"/>
      <c r="Y1542" s="61"/>
      <c r="Z1542" s="61"/>
    </row>
    <row r="1543" ht="15.75" customHeight="1">
      <c r="A1543" s="61"/>
      <c r="B1543" s="61"/>
      <c r="C1543" s="61"/>
      <c r="D1543" s="61"/>
      <c r="E1543" s="61"/>
      <c r="F1543" s="61"/>
      <c r="G1543" s="61"/>
      <c r="H1543" s="63"/>
      <c r="I1543" s="61"/>
      <c r="J1543" s="61"/>
      <c r="K1543" s="61"/>
      <c r="L1543" s="61"/>
      <c r="M1543" s="61"/>
      <c r="N1543" s="61"/>
      <c r="O1543" s="61"/>
      <c r="P1543" s="61"/>
      <c r="Q1543" s="61"/>
      <c r="R1543" s="61"/>
      <c r="S1543" s="61"/>
      <c r="T1543" s="61"/>
      <c r="U1543" s="61"/>
      <c r="V1543" s="61"/>
      <c r="W1543" s="61"/>
      <c r="X1543" s="61"/>
      <c r="Y1543" s="61"/>
      <c r="Z1543" s="61"/>
    </row>
    <row r="1544" ht="15.75" customHeight="1">
      <c r="A1544" s="61"/>
      <c r="B1544" s="61"/>
      <c r="C1544" s="61"/>
      <c r="D1544" s="61"/>
      <c r="E1544" s="61"/>
      <c r="F1544" s="61"/>
      <c r="G1544" s="61"/>
      <c r="H1544" s="63"/>
      <c r="I1544" s="61"/>
      <c r="J1544" s="61"/>
      <c r="K1544" s="61"/>
      <c r="L1544" s="61"/>
      <c r="M1544" s="61"/>
      <c r="N1544" s="61"/>
      <c r="O1544" s="61"/>
      <c r="P1544" s="61"/>
      <c r="Q1544" s="61"/>
      <c r="R1544" s="61"/>
      <c r="S1544" s="61"/>
      <c r="T1544" s="61"/>
      <c r="U1544" s="61"/>
      <c r="V1544" s="61"/>
      <c r="W1544" s="61"/>
      <c r="X1544" s="61"/>
      <c r="Y1544" s="61"/>
      <c r="Z1544" s="61"/>
    </row>
    <row r="1545" ht="15.75" customHeight="1">
      <c r="A1545" s="61"/>
      <c r="B1545" s="61"/>
      <c r="C1545" s="61"/>
      <c r="D1545" s="61"/>
      <c r="E1545" s="61"/>
      <c r="F1545" s="61"/>
      <c r="G1545" s="61"/>
      <c r="H1545" s="63"/>
      <c r="I1545" s="61"/>
      <c r="J1545" s="61"/>
      <c r="K1545" s="61"/>
      <c r="L1545" s="61"/>
      <c r="M1545" s="61"/>
      <c r="N1545" s="61"/>
      <c r="O1545" s="61"/>
      <c r="P1545" s="61"/>
      <c r="Q1545" s="61"/>
      <c r="R1545" s="61"/>
      <c r="S1545" s="61"/>
      <c r="T1545" s="61"/>
      <c r="U1545" s="61"/>
      <c r="V1545" s="61"/>
      <c r="W1545" s="61"/>
      <c r="X1545" s="61"/>
      <c r="Y1545" s="61"/>
      <c r="Z1545" s="61"/>
    </row>
    <row r="1546" ht="15.75" customHeight="1">
      <c r="A1546" s="61"/>
      <c r="B1546" s="61"/>
      <c r="C1546" s="61"/>
      <c r="D1546" s="61"/>
      <c r="E1546" s="61"/>
      <c r="F1546" s="61"/>
      <c r="G1546" s="61"/>
      <c r="H1546" s="63"/>
      <c r="I1546" s="61"/>
      <c r="J1546" s="61"/>
      <c r="K1546" s="61"/>
      <c r="L1546" s="61"/>
      <c r="M1546" s="61"/>
      <c r="N1546" s="61"/>
      <c r="O1546" s="61"/>
      <c r="P1546" s="61"/>
      <c r="Q1546" s="61"/>
      <c r="R1546" s="61"/>
      <c r="S1546" s="61"/>
      <c r="T1546" s="61"/>
      <c r="U1546" s="61"/>
      <c r="V1546" s="61"/>
      <c r="W1546" s="61"/>
      <c r="X1546" s="61"/>
      <c r="Y1546" s="61"/>
      <c r="Z1546" s="61"/>
    </row>
    <row r="1547" ht="15.75" customHeight="1">
      <c r="A1547" s="61"/>
      <c r="B1547" s="61"/>
      <c r="C1547" s="61"/>
      <c r="D1547" s="61"/>
      <c r="E1547" s="61"/>
      <c r="F1547" s="61"/>
      <c r="G1547" s="61"/>
      <c r="H1547" s="63"/>
      <c r="I1547" s="61"/>
      <c r="J1547" s="61"/>
      <c r="K1547" s="61"/>
      <c r="L1547" s="61"/>
      <c r="M1547" s="61"/>
      <c r="N1547" s="61"/>
      <c r="O1547" s="61"/>
      <c r="P1547" s="61"/>
      <c r="Q1547" s="61"/>
      <c r="R1547" s="61"/>
      <c r="S1547" s="61"/>
      <c r="T1547" s="61"/>
      <c r="U1547" s="61"/>
      <c r="V1547" s="61"/>
      <c r="W1547" s="61"/>
      <c r="X1547" s="61"/>
      <c r="Y1547" s="61"/>
      <c r="Z1547" s="61"/>
    </row>
    <row r="1548" ht="15.75" customHeight="1">
      <c r="A1548" s="61"/>
      <c r="B1548" s="61"/>
      <c r="C1548" s="61"/>
      <c r="D1548" s="61"/>
      <c r="E1548" s="61"/>
      <c r="F1548" s="61"/>
      <c r="G1548" s="61"/>
      <c r="H1548" s="63"/>
      <c r="I1548" s="61"/>
      <c r="J1548" s="61"/>
      <c r="K1548" s="61"/>
      <c r="L1548" s="61"/>
      <c r="M1548" s="61"/>
      <c r="N1548" s="61"/>
      <c r="O1548" s="61"/>
      <c r="P1548" s="61"/>
      <c r="Q1548" s="61"/>
      <c r="R1548" s="61"/>
      <c r="S1548" s="61"/>
      <c r="T1548" s="61"/>
      <c r="U1548" s="61"/>
      <c r="V1548" s="61"/>
      <c r="W1548" s="61"/>
      <c r="X1548" s="61"/>
      <c r="Y1548" s="61"/>
      <c r="Z1548" s="61"/>
    </row>
    <row r="1549" ht="15.75" customHeight="1">
      <c r="A1549" s="61"/>
      <c r="B1549" s="61"/>
      <c r="C1549" s="61"/>
      <c r="D1549" s="61"/>
      <c r="E1549" s="61"/>
      <c r="F1549" s="61"/>
      <c r="G1549" s="61"/>
      <c r="H1549" s="63"/>
      <c r="I1549" s="61"/>
      <c r="J1549" s="61"/>
      <c r="K1549" s="61"/>
      <c r="L1549" s="61"/>
      <c r="M1549" s="61"/>
      <c r="N1549" s="61"/>
      <c r="O1549" s="61"/>
      <c r="P1549" s="61"/>
      <c r="Q1549" s="61"/>
      <c r="R1549" s="61"/>
      <c r="S1549" s="61"/>
      <c r="T1549" s="61"/>
      <c r="U1549" s="61"/>
      <c r="V1549" s="61"/>
      <c r="W1549" s="61"/>
      <c r="X1549" s="61"/>
      <c r="Y1549" s="61"/>
      <c r="Z1549" s="61"/>
    </row>
    <row r="1550" ht="15.75" customHeight="1">
      <c r="A1550" s="61"/>
      <c r="B1550" s="61"/>
      <c r="C1550" s="61"/>
      <c r="D1550" s="61"/>
      <c r="E1550" s="61"/>
      <c r="F1550" s="61"/>
      <c r="G1550" s="61"/>
      <c r="H1550" s="63"/>
      <c r="I1550" s="61"/>
      <c r="J1550" s="61"/>
      <c r="K1550" s="61"/>
      <c r="L1550" s="61"/>
      <c r="M1550" s="61"/>
      <c r="N1550" s="61"/>
      <c r="O1550" s="61"/>
      <c r="P1550" s="61"/>
      <c r="Q1550" s="61"/>
      <c r="R1550" s="61"/>
      <c r="S1550" s="61"/>
      <c r="T1550" s="61"/>
      <c r="U1550" s="61"/>
      <c r="V1550" s="61"/>
      <c r="W1550" s="61"/>
      <c r="X1550" s="61"/>
      <c r="Y1550" s="61"/>
      <c r="Z1550" s="61"/>
    </row>
    <row r="1551" ht="15.75" customHeight="1">
      <c r="A1551" s="61"/>
      <c r="B1551" s="61"/>
      <c r="C1551" s="61"/>
      <c r="D1551" s="61"/>
      <c r="E1551" s="61"/>
      <c r="F1551" s="61"/>
      <c r="G1551" s="61"/>
      <c r="H1551" s="63"/>
      <c r="I1551" s="61"/>
      <c r="J1551" s="61"/>
      <c r="K1551" s="61"/>
      <c r="L1551" s="61"/>
      <c r="M1551" s="61"/>
      <c r="N1551" s="61"/>
      <c r="O1551" s="61"/>
      <c r="P1551" s="61"/>
      <c r="Q1551" s="61"/>
      <c r="R1551" s="61"/>
      <c r="S1551" s="61"/>
      <c r="T1551" s="61"/>
      <c r="U1551" s="61"/>
      <c r="V1551" s="61"/>
      <c r="W1551" s="61"/>
      <c r="X1551" s="61"/>
      <c r="Y1551" s="61"/>
      <c r="Z1551" s="61"/>
    </row>
    <row r="1552" ht="15.75" customHeight="1">
      <c r="A1552" s="61"/>
      <c r="B1552" s="61"/>
      <c r="C1552" s="61"/>
      <c r="D1552" s="61"/>
      <c r="E1552" s="61"/>
      <c r="F1552" s="61"/>
      <c r="G1552" s="61"/>
      <c r="H1552" s="63"/>
      <c r="I1552" s="61"/>
      <c r="J1552" s="61"/>
      <c r="K1552" s="61"/>
      <c r="L1552" s="61"/>
      <c r="M1552" s="61"/>
      <c r="N1552" s="61"/>
      <c r="O1552" s="61"/>
      <c r="P1552" s="61"/>
      <c r="Q1552" s="61"/>
      <c r="R1552" s="61"/>
      <c r="S1552" s="61"/>
      <c r="T1552" s="61"/>
      <c r="U1552" s="61"/>
      <c r="V1552" s="61"/>
      <c r="W1552" s="61"/>
      <c r="X1552" s="61"/>
      <c r="Y1552" s="61"/>
      <c r="Z1552" s="61"/>
    </row>
    <row r="1553" ht="15.75" customHeight="1">
      <c r="A1553" s="61"/>
      <c r="B1553" s="61"/>
      <c r="C1553" s="61"/>
      <c r="D1553" s="61"/>
      <c r="E1553" s="61"/>
      <c r="F1553" s="61"/>
      <c r="G1553" s="61"/>
      <c r="H1553" s="63"/>
      <c r="I1553" s="61"/>
      <c r="J1553" s="61"/>
      <c r="K1553" s="61"/>
      <c r="L1553" s="61"/>
      <c r="M1553" s="61"/>
      <c r="N1553" s="61"/>
      <c r="O1553" s="61"/>
      <c r="P1553" s="61"/>
      <c r="Q1553" s="61"/>
      <c r="R1553" s="61"/>
      <c r="S1553" s="61"/>
      <c r="T1553" s="61"/>
      <c r="U1553" s="61"/>
      <c r="V1553" s="61"/>
      <c r="W1553" s="61"/>
      <c r="X1553" s="61"/>
      <c r="Y1553" s="61"/>
      <c r="Z1553" s="61"/>
    </row>
    <row r="1554" ht="15.75" customHeight="1">
      <c r="A1554" s="61"/>
      <c r="B1554" s="61"/>
      <c r="C1554" s="61"/>
      <c r="D1554" s="61"/>
      <c r="E1554" s="61"/>
      <c r="F1554" s="61"/>
      <c r="G1554" s="61"/>
      <c r="H1554" s="63"/>
      <c r="I1554" s="61"/>
      <c r="J1554" s="61"/>
      <c r="K1554" s="61"/>
      <c r="L1554" s="61"/>
      <c r="M1554" s="61"/>
      <c r="N1554" s="61"/>
      <c r="O1554" s="61"/>
      <c r="P1554" s="61"/>
      <c r="Q1554" s="61"/>
      <c r="R1554" s="61"/>
      <c r="S1554" s="61"/>
      <c r="T1554" s="61"/>
      <c r="U1554" s="61"/>
      <c r="V1554" s="61"/>
      <c r="W1554" s="61"/>
      <c r="X1554" s="61"/>
      <c r="Y1554" s="61"/>
      <c r="Z1554" s="61"/>
    </row>
    <row r="1555" ht="15.75" customHeight="1">
      <c r="A1555" s="61"/>
      <c r="B1555" s="61"/>
      <c r="C1555" s="61"/>
      <c r="D1555" s="61"/>
      <c r="E1555" s="61"/>
      <c r="F1555" s="61"/>
      <c r="G1555" s="61"/>
      <c r="H1555" s="63"/>
      <c r="I1555" s="61"/>
      <c r="J1555" s="61"/>
      <c r="K1555" s="61"/>
      <c r="L1555" s="61"/>
      <c r="M1555" s="61"/>
      <c r="N1555" s="61"/>
      <c r="O1555" s="61"/>
      <c r="P1555" s="61"/>
      <c r="Q1555" s="61"/>
      <c r="R1555" s="61"/>
      <c r="S1555" s="61"/>
      <c r="T1555" s="61"/>
      <c r="U1555" s="61"/>
      <c r="V1555" s="61"/>
      <c r="W1555" s="61"/>
      <c r="X1555" s="61"/>
      <c r="Y1555" s="61"/>
      <c r="Z1555" s="61"/>
    </row>
    <row r="1556" ht="15.75" customHeight="1">
      <c r="A1556" s="61"/>
      <c r="B1556" s="61"/>
      <c r="C1556" s="61"/>
      <c r="D1556" s="61"/>
      <c r="E1556" s="61"/>
      <c r="F1556" s="61"/>
      <c r="G1556" s="61"/>
      <c r="H1556" s="63"/>
      <c r="I1556" s="61"/>
      <c r="J1556" s="61"/>
      <c r="K1556" s="61"/>
      <c r="L1556" s="61"/>
      <c r="M1556" s="61"/>
      <c r="N1556" s="61"/>
      <c r="O1556" s="61"/>
      <c r="P1556" s="61"/>
      <c r="Q1556" s="61"/>
      <c r="R1556" s="61"/>
      <c r="S1556" s="61"/>
      <c r="T1556" s="61"/>
      <c r="U1556" s="61"/>
      <c r="V1556" s="61"/>
      <c r="W1556" s="61"/>
      <c r="X1556" s="61"/>
      <c r="Y1556" s="61"/>
      <c r="Z1556" s="61"/>
    </row>
    <row r="1557" ht="15.75" customHeight="1">
      <c r="A1557" s="61"/>
      <c r="B1557" s="61"/>
      <c r="C1557" s="61"/>
      <c r="D1557" s="61"/>
      <c r="E1557" s="61"/>
      <c r="F1557" s="61"/>
      <c r="G1557" s="61"/>
      <c r="H1557" s="63"/>
      <c r="I1557" s="61"/>
      <c r="J1557" s="61"/>
      <c r="K1557" s="61"/>
      <c r="L1557" s="61"/>
      <c r="M1557" s="61"/>
      <c r="N1557" s="61"/>
      <c r="O1557" s="61"/>
      <c r="P1557" s="61"/>
      <c r="Q1557" s="61"/>
      <c r="R1557" s="61"/>
      <c r="S1557" s="61"/>
      <c r="T1557" s="61"/>
      <c r="U1557" s="61"/>
      <c r="V1557" s="61"/>
      <c r="W1557" s="61"/>
      <c r="X1557" s="61"/>
      <c r="Y1557" s="61"/>
      <c r="Z1557" s="61"/>
    </row>
    <row r="1558" ht="15.75" customHeight="1">
      <c r="A1558" s="61"/>
      <c r="B1558" s="61"/>
      <c r="C1558" s="61"/>
      <c r="D1558" s="61"/>
      <c r="E1558" s="61"/>
      <c r="F1558" s="61"/>
      <c r="G1558" s="61"/>
      <c r="H1558" s="63"/>
      <c r="I1558" s="61"/>
      <c r="J1558" s="61"/>
      <c r="K1558" s="61"/>
      <c r="L1558" s="61"/>
      <c r="M1558" s="61"/>
      <c r="N1558" s="61"/>
      <c r="O1558" s="61"/>
      <c r="P1558" s="61"/>
      <c r="Q1558" s="61"/>
      <c r="R1558" s="61"/>
      <c r="S1558" s="61"/>
      <c r="T1558" s="61"/>
      <c r="U1558" s="61"/>
      <c r="V1558" s="61"/>
      <c r="W1558" s="61"/>
      <c r="X1558" s="61"/>
      <c r="Y1558" s="61"/>
      <c r="Z1558" s="61"/>
    </row>
    <row r="1559" ht="15.75" customHeight="1">
      <c r="A1559" s="61"/>
      <c r="B1559" s="61"/>
      <c r="C1559" s="61"/>
      <c r="D1559" s="61"/>
      <c r="E1559" s="61"/>
      <c r="F1559" s="61"/>
      <c r="G1559" s="61"/>
      <c r="H1559" s="63"/>
      <c r="I1559" s="61"/>
      <c r="J1559" s="61"/>
      <c r="K1559" s="61"/>
      <c r="L1559" s="61"/>
      <c r="M1559" s="61"/>
      <c r="N1559" s="61"/>
      <c r="O1559" s="61"/>
      <c r="P1559" s="61"/>
      <c r="Q1559" s="61"/>
      <c r="R1559" s="61"/>
      <c r="S1559" s="61"/>
      <c r="T1559" s="61"/>
      <c r="U1559" s="61"/>
      <c r="V1559" s="61"/>
      <c r="W1559" s="61"/>
      <c r="X1559" s="61"/>
      <c r="Y1559" s="61"/>
      <c r="Z1559" s="61"/>
    </row>
    <row r="1560" ht="15.75" customHeight="1">
      <c r="A1560" s="61"/>
      <c r="B1560" s="61"/>
      <c r="C1560" s="61"/>
      <c r="D1560" s="61"/>
      <c r="E1560" s="61"/>
      <c r="F1560" s="61"/>
      <c r="G1560" s="61"/>
      <c r="H1560" s="63"/>
      <c r="I1560" s="61"/>
      <c r="J1560" s="61"/>
      <c r="K1560" s="61"/>
      <c r="L1560" s="61"/>
      <c r="M1560" s="61"/>
      <c r="N1560" s="61"/>
      <c r="O1560" s="61"/>
      <c r="P1560" s="61"/>
      <c r="Q1560" s="61"/>
      <c r="R1560" s="61"/>
      <c r="S1560" s="61"/>
      <c r="T1560" s="61"/>
      <c r="U1560" s="61"/>
      <c r="V1560" s="61"/>
      <c r="W1560" s="61"/>
      <c r="X1560" s="61"/>
      <c r="Y1560" s="61"/>
      <c r="Z1560" s="61"/>
    </row>
    <row r="1561" ht="15.75" customHeight="1">
      <c r="A1561" s="61"/>
      <c r="B1561" s="61"/>
      <c r="C1561" s="61"/>
      <c r="D1561" s="61"/>
      <c r="E1561" s="61"/>
      <c r="F1561" s="61"/>
      <c r="G1561" s="61"/>
      <c r="H1561" s="63"/>
      <c r="I1561" s="61"/>
      <c r="J1561" s="61"/>
      <c r="K1561" s="61"/>
      <c r="L1561" s="61"/>
      <c r="M1561" s="61"/>
      <c r="N1561" s="61"/>
      <c r="O1561" s="61"/>
      <c r="P1561" s="61"/>
      <c r="Q1561" s="61"/>
      <c r="R1561" s="61"/>
      <c r="S1561" s="61"/>
      <c r="T1561" s="61"/>
      <c r="U1561" s="61"/>
      <c r="V1561" s="61"/>
      <c r="W1561" s="61"/>
      <c r="X1561" s="61"/>
      <c r="Y1561" s="61"/>
      <c r="Z1561" s="61"/>
    </row>
    <row r="1562" ht="15.75" customHeight="1">
      <c r="A1562" s="61"/>
      <c r="B1562" s="61"/>
      <c r="C1562" s="61"/>
      <c r="D1562" s="61"/>
      <c r="E1562" s="61"/>
      <c r="F1562" s="61"/>
      <c r="G1562" s="61"/>
      <c r="H1562" s="63"/>
      <c r="I1562" s="61"/>
      <c r="J1562" s="61"/>
      <c r="K1562" s="61"/>
      <c r="L1562" s="61"/>
      <c r="M1562" s="61"/>
      <c r="N1562" s="61"/>
      <c r="O1562" s="61"/>
      <c r="P1562" s="61"/>
      <c r="Q1562" s="61"/>
      <c r="R1562" s="61"/>
      <c r="S1562" s="61"/>
      <c r="T1562" s="61"/>
      <c r="U1562" s="61"/>
      <c r="V1562" s="61"/>
      <c r="W1562" s="61"/>
      <c r="X1562" s="61"/>
      <c r="Y1562" s="61"/>
      <c r="Z1562" s="61"/>
    </row>
    <row r="1563" ht="15.75" customHeight="1">
      <c r="A1563" s="61"/>
      <c r="B1563" s="61"/>
      <c r="C1563" s="61"/>
      <c r="D1563" s="61"/>
      <c r="E1563" s="61"/>
      <c r="F1563" s="61"/>
      <c r="G1563" s="61"/>
      <c r="H1563" s="63"/>
      <c r="I1563" s="61"/>
      <c r="J1563" s="61"/>
      <c r="K1563" s="61"/>
      <c r="L1563" s="61"/>
      <c r="M1563" s="61"/>
      <c r="N1563" s="61"/>
      <c r="O1563" s="61"/>
      <c r="P1563" s="61"/>
      <c r="Q1563" s="61"/>
      <c r="R1563" s="61"/>
      <c r="S1563" s="61"/>
      <c r="T1563" s="61"/>
      <c r="U1563" s="61"/>
      <c r="V1563" s="61"/>
      <c r="W1563" s="61"/>
      <c r="X1563" s="61"/>
      <c r="Y1563" s="61"/>
      <c r="Z1563" s="61"/>
    </row>
    <row r="1564" ht="15.75" customHeight="1">
      <c r="A1564" s="61"/>
      <c r="B1564" s="61"/>
      <c r="C1564" s="61"/>
      <c r="D1564" s="61"/>
      <c r="E1564" s="61"/>
      <c r="F1564" s="61"/>
      <c r="G1564" s="61"/>
      <c r="H1564" s="63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  <c r="S1564" s="61"/>
      <c r="T1564" s="61"/>
      <c r="U1564" s="61"/>
      <c r="V1564" s="61"/>
      <c r="W1564" s="61"/>
      <c r="X1564" s="61"/>
      <c r="Y1564" s="61"/>
      <c r="Z1564" s="61"/>
    </row>
    <row r="1565" ht="15.75" customHeight="1">
      <c r="A1565" s="61"/>
      <c r="B1565" s="61"/>
      <c r="C1565" s="61"/>
      <c r="D1565" s="61"/>
      <c r="E1565" s="61"/>
      <c r="F1565" s="61"/>
      <c r="G1565" s="61"/>
      <c r="H1565" s="63"/>
      <c r="I1565" s="61"/>
      <c r="J1565" s="61"/>
      <c r="K1565" s="61"/>
      <c r="L1565" s="61"/>
      <c r="M1565" s="61"/>
      <c r="N1565" s="61"/>
      <c r="O1565" s="61"/>
      <c r="P1565" s="61"/>
      <c r="Q1565" s="61"/>
      <c r="R1565" s="61"/>
      <c r="S1565" s="61"/>
      <c r="T1565" s="61"/>
      <c r="U1565" s="61"/>
      <c r="V1565" s="61"/>
      <c r="W1565" s="61"/>
      <c r="X1565" s="61"/>
      <c r="Y1565" s="61"/>
      <c r="Z1565" s="61"/>
    </row>
    <row r="1566" ht="15.75" customHeight="1">
      <c r="A1566" s="61"/>
      <c r="B1566" s="61"/>
      <c r="C1566" s="61"/>
      <c r="D1566" s="61"/>
      <c r="E1566" s="61"/>
      <c r="F1566" s="61"/>
      <c r="G1566" s="61"/>
      <c r="H1566" s="63"/>
      <c r="I1566" s="61"/>
      <c r="J1566" s="61"/>
      <c r="K1566" s="61"/>
      <c r="L1566" s="61"/>
      <c r="M1566" s="61"/>
      <c r="N1566" s="61"/>
      <c r="O1566" s="61"/>
      <c r="P1566" s="61"/>
      <c r="Q1566" s="61"/>
      <c r="R1566" s="61"/>
      <c r="S1566" s="61"/>
      <c r="T1566" s="61"/>
      <c r="U1566" s="61"/>
      <c r="V1566" s="61"/>
      <c r="W1566" s="61"/>
      <c r="X1566" s="61"/>
      <c r="Y1566" s="61"/>
      <c r="Z1566" s="61"/>
    </row>
    <row r="1567" ht="15.75" customHeight="1">
      <c r="A1567" s="61"/>
      <c r="B1567" s="61"/>
      <c r="C1567" s="61"/>
      <c r="D1567" s="61"/>
      <c r="E1567" s="61"/>
      <c r="F1567" s="61"/>
      <c r="G1567" s="61"/>
      <c r="H1567" s="63"/>
      <c r="I1567" s="61"/>
      <c r="J1567" s="61"/>
      <c r="K1567" s="61"/>
      <c r="L1567" s="61"/>
      <c r="M1567" s="61"/>
      <c r="N1567" s="61"/>
      <c r="O1567" s="61"/>
      <c r="P1567" s="61"/>
      <c r="Q1567" s="61"/>
      <c r="R1567" s="61"/>
      <c r="S1567" s="61"/>
      <c r="T1567" s="61"/>
      <c r="U1567" s="61"/>
      <c r="V1567" s="61"/>
      <c r="W1567" s="61"/>
      <c r="X1567" s="61"/>
      <c r="Y1567" s="61"/>
      <c r="Z1567" s="61"/>
    </row>
    <row r="1568" ht="15.75" customHeight="1">
      <c r="A1568" s="61"/>
      <c r="B1568" s="61"/>
      <c r="C1568" s="61"/>
      <c r="D1568" s="61"/>
      <c r="E1568" s="61"/>
      <c r="F1568" s="61"/>
      <c r="G1568" s="61"/>
      <c r="H1568" s="63"/>
      <c r="I1568" s="61"/>
      <c r="J1568" s="61"/>
      <c r="K1568" s="61"/>
      <c r="L1568" s="61"/>
      <c r="M1568" s="61"/>
      <c r="N1568" s="61"/>
      <c r="O1568" s="61"/>
      <c r="P1568" s="61"/>
      <c r="Q1568" s="61"/>
      <c r="R1568" s="61"/>
      <c r="S1568" s="61"/>
      <c r="T1568" s="61"/>
      <c r="U1568" s="61"/>
      <c r="V1568" s="61"/>
      <c r="W1568" s="61"/>
      <c r="X1568" s="61"/>
      <c r="Y1568" s="61"/>
      <c r="Z1568" s="61"/>
    </row>
    <row r="1569" ht="15.75" customHeight="1">
      <c r="A1569" s="61"/>
      <c r="B1569" s="61"/>
      <c r="C1569" s="61"/>
      <c r="D1569" s="61"/>
      <c r="E1569" s="61"/>
      <c r="F1569" s="61"/>
      <c r="G1569" s="61"/>
      <c r="H1569" s="63"/>
      <c r="I1569" s="61"/>
      <c r="J1569" s="61"/>
      <c r="K1569" s="61"/>
      <c r="L1569" s="61"/>
      <c r="M1569" s="61"/>
      <c r="N1569" s="61"/>
      <c r="O1569" s="61"/>
      <c r="P1569" s="61"/>
      <c r="Q1569" s="61"/>
      <c r="R1569" s="61"/>
      <c r="S1569" s="61"/>
      <c r="T1569" s="61"/>
      <c r="U1569" s="61"/>
      <c r="V1569" s="61"/>
      <c r="W1569" s="61"/>
      <c r="X1569" s="61"/>
      <c r="Y1569" s="61"/>
      <c r="Z1569" s="61"/>
    </row>
    <row r="1570" ht="15.75" customHeight="1">
      <c r="A1570" s="61"/>
      <c r="B1570" s="61"/>
      <c r="C1570" s="61"/>
      <c r="D1570" s="61"/>
      <c r="E1570" s="61"/>
      <c r="F1570" s="61"/>
      <c r="G1570" s="61"/>
      <c r="H1570" s="63"/>
      <c r="I1570" s="61"/>
      <c r="J1570" s="61"/>
      <c r="K1570" s="61"/>
      <c r="L1570" s="61"/>
      <c r="M1570" s="61"/>
      <c r="N1570" s="61"/>
      <c r="O1570" s="61"/>
      <c r="P1570" s="61"/>
      <c r="Q1570" s="61"/>
      <c r="R1570" s="61"/>
      <c r="S1570" s="61"/>
      <c r="T1570" s="61"/>
      <c r="U1570" s="61"/>
      <c r="V1570" s="61"/>
      <c r="W1570" s="61"/>
      <c r="X1570" s="61"/>
      <c r="Y1570" s="61"/>
      <c r="Z1570" s="61"/>
    </row>
    <row r="1571" ht="15.75" customHeight="1">
      <c r="A1571" s="61"/>
      <c r="B1571" s="61"/>
      <c r="C1571" s="61"/>
      <c r="D1571" s="61"/>
      <c r="E1571" s="61"/>
      <c r="F1571" s="61"/>
      <c r="G1571" s="61"/>
      <c r="H1571" s="63"/>
      <c r="I1571" s="61"/>
      <c r="J1571" s="61"/>
      <c r="K1571" s="61"/>
      <c r="L1571" s="61"/>
      <c r="M1571" s="61"/>
      <c r="N1571" s="61"/>
      <c r="O1571" s="61"/>
      <c r="P1571" s="61"/>
      <c r="Q1571" s="61"/>
      <c r="R1571" s="61"/>
      <c r="S1571" s="61"/>
      <c r="T1571" s="61"/>
      <c r="U1571" s="61"/>
      <c r="V1571" s="61"/>
      <c r="W1571" s="61"/>
      <c r="X1571" s="61"/>
      <c r="Y1571" s="61"/>
      <c r="Z1571" s="61"/>
    </row>
    <row r="1572" ht="15.75" customHeight="1">
      <c r="A1572" s="61"/>
      <c r="B1572" s="61"/>
      <c r="C1572" s="61"/>
      <c r="D1572" s="61"/>
      <c r="E1572" s="61"/>
      <c r="F1572" s="61"/>
      <c r="G1572" s="61"/>
      <c r="H1572" s="63"/>
      <c r="I1572" s="61"/>
      <c r="J1572" s="61"/>
      <c r="K1572" s="61"/>
      <c r="L1572" s="61"/>
      <c r="M1572" s="61"/>
      <c r="N1572" s="61"/>
      <c r="O1572" s="61"/>
      <c r="P1572" s="61"/>
      <c r="Q1572" s="61"/>
      <c r="R1572" s="61"/>
      <c r="S1572" s="61"/>
      <c r="T1572" s="61"/>
      <c r="U1572" s="61"/>
      <c r="V1572" s="61"/>
      <c r="W1572" s="61"/>
      <c r="X1572" s="61"/>
      <c r="Y1572" s="61"/>
      <c r="Z1572" s="61"/>
    </row>
    <row r="1573" ht="15.75" customHeight="1">
      <c r="A1573" s="61"/>
      <c r="B1573" s="61"/>
      <c r="C1573" s="61"/>
      <c r="D1573" s="61"/>
      <c r="E1573" s="61"/>
      <c r="F1573" s="61"/>
      <c r="G1573" s="61"/>
      <c r="H1573" s="63"/>
      <c r="I1573" s="61"/>
      <c r="J1573" s="61"/>
      <c r="K1573" s="61"/>
      <c r="L1573" s="61"/>
      <c r="M1573" s="61"/>
      <c r="N1573" s="61"/>
      <c r="O1573" s="61"/>
      <c r="P1573" s="61"/>
      <c r="Q1573" s="61"/>
      <c r="R1573" s="61"/>
      <c r="S1573" s="61"/>
      <c r="T1573" s="61"/>
      <c r="U1573" s="61"/>
      <c r="V1573" s="61"/>
      <c r="W1573" s="61"/>
      <c r="X1573" s="61"/>
      <c r="Y1573" s="61"/>
      <c r="Z1573" s="61"/>
    </row>
    <row r="1574" ht="15.75" customHeight="1">
      <c r="A1574" s="61"/>
      <c r="B1574" s="61"/>
      <c r="C1574" s="61"/>
      <c r="D1574" s="61"/>
      <c r="E1574" s="61"/>
      <c r="F1574" s="61"/>
      <c r="G1574" s="61"/>
      <c r="H1574" s="63"/>
      <c r="I1574" s="61"/>
      <c r="J1574" s="61"/>
      <c r="K1574" s="61"/>
      <c r="L1574" s="61"/>
      <c r="M1574" s="61"/>
      <c r="N1574" s="61"/>
      <c r="O1574" s="61"/>
      <c r="P1574" s="61"/>
      <c r="Q1574" s="61"/>
      <c r="R1574" s="61"/>
      <c r="S1574" s="61"/>
      <c r="T1574" s="61"/>
      <c r="U1574" s="61"/>
      <c r="V1574" s="61"/>
      <c r="W1574" s="61"/>
      <c r="X1574" s="61"/>
      <c r="Y1574" s="61"/>
      <c r="Z1574" s="61"/>
    </row>
    <row r="1575" ht="15.75" customHeight="1">
      <c r="A1575" s="61"/>
      <c r="B1575" s="61"/>
      <c r="C1575" s="61"/>
      <c r="D1575" s="61"/>
      <c r="E1575" s="61"/>
      <c r="F1575" s="61"/>
      <c r="G1575" s="61"/>
      <c r="H1575" s="63"/>
      <c r="I1575" s="61"/>
      <c r="J1575" s="61"/>
      <c r="K1575" s="61"/>
      <c r="L1575" s="61"/>
      <c r="M1575" s="61"/>
      <c r="N1575" s="61"/>
      <c r="O1575" s="61"/>
      <c r="P1575" s="61"/>
      <c r="Q1575" s="61"/>
      <c r="R1575" s="61"/>
      <c r="S1575" s="61"/>
      <c r="T1575" s="61"/>
      <c r="U1575" s="61"/>
      <c r="V1575" s="61"/>
      <c r="W1575" s="61"/>
      <c r="X1575" s="61"/>
      <c r="Y1575" s="61"/>
      <c r="Z1575" s="61"/>
    </row>
    <row r="1576" ht="15.75" customHeight="1">
      <c r="A1576" s="61"/>
      <c r="B1576" s="61"/>
      <c r="C1576" s="61"/>
      <c r="D1576" s="61"/>
      <c r="E1576" s="61"/>
      <c r="F1576" s="61"/>
      <c r="G1576" s="61"/>
      <c r="H1576" s="63"/>
      <c r="I1576" s="61"/>
      <c r="J1576" s="61"/>
      <c r="K1576" s="61"/>
      <c r="L1576" s="61"/>
      <c r="M1576" s="61"/>
      <c r="N1576" s="61"/>
      <c r="O1576" s="61"/>
      <c r="P1576" s="61"/>
      <c r="Q1576" s="61"/>
      <c r="R1576" s="61"/>
      <c r="S1576" s="61"/>
      <c r="T1576" s="61"/>
      <c r="U1576" s="61"/>
      <c r="V1576" s="61"/>
      <c r="W1576" s="61"/>
      <c r="X1576" s="61"/>
      <c r="Y1576" s="61"/>
      <c r="Z1576" s="61"/>
    </row>
    <row r="1577" ht="15.75" customHeight="1">
      <c r="A1577" s="61"/>
      <c r="B1577" s="61"/>
      <c r="C1577" s="61"/>
      <c r="D1577" s="61"/>
      <c r="E1577" s="61"/>
      <c r="F1577" s="61"/>
      <c r="G1577" s="61"/>
      <c r="H1577" s="63"/>
      <c r="I1577" s="61"/>
      <c r="J1577" s="61"/>
      <c r="K1577" s="61"/>
      <c r="L1577" s="61"/>
      <c r="M1577" s="61"/>
      <c r="N1577" s="61"/>
      <c r="O1577" s="61"/>
      <c r="P1577" s="61"/>
      <c r="Q1577" s="61"/>
      <c r="R1577" s="61"/>
      <c r="S1577" s="61"/>
      <c r="T1577" s="61"/>
      <c r="U1577" s="61"/>
      <c r="V1577" s="61"/>
      <c r="W1577" s="61"/>
      <c r="X1577" s="61"/>
      <c r="Y1577" s="61"/>
      <c r="Z1577" s="61"/>
    </row>
    <row r="1578" ht="15.75" customHeight="1">
      <c r="A1578" s="61"/>
      <c r="B1578" s="61"/>
      <c r="C1578" s="61"/>
      <c r="D1578" s="61"/>
      <c r="E1578" s="61"/>
      <c r="F1578" s="61"/>
      <c r="G1578" s="61"/>
      <c r="H1578" s="63"/>
      <c r="I1578" s="61"/>
      <c r="J1578" s="61"/>
      <c r="K1578" s="61"/>
      <c r="L1578" s="61"/>
      <c r="M1578" s="61"/>
      <c r="N1578" s="61"/>
      <c r="O1578" s="61"/>
      <c r="P1578" s="61"/>
      <c r="Q1578" s="61"/>
      <c r="R1578" s="61"/>
      <c r="S1578" s="61"/>
      <c r="T1578" s="61"/>
      <c r="U1578" s="61"/>
      <c r="V1578" s="61"/>
      <c r="W1578" s="61"/>
      <c r="X1578" s="61"/>
      <c r="Y1578" s="61"/>
      <c r="Z1578" s="61"/>
    </row>
    <row r="1579" ht="15.75" customHeight="1">
      <c r="A1579" s="61"/>
      <c r="B1579" s="61"/>
      <c r="C1579" s="61"/>
      <c r="D1579" s="61"/>
      <c r="E1579" s="61"/>
      <c r="F1579" s="61"/>
      <c r="G1579" s="61"/>
      <c r="H1579" s="63"/>
      <c r="I1579" s="61"/>
      <c r="J1579" s="61"/>
      <c r="K1579" s="61"/>
      <c r="L1579" s="61"/>
      <c r="M1579" s="61"/>
      <c r="N1579" s="61"/>
      <c r="O1579" s="61"/>
      <c r="P1579" s="61"/>
      <c r="Q1579" s="61"/>
      <c r="R1579" s="61"/>
      <c r="S1579" s="61"/>
      <c r="T1579" s="61"/>
      <c r="U1579" s="61"/>
      <c r="V1579" s="61"/>
      <c r="W1579" s="61"/>
      <c r="X1579" s="61"/>
      <c r="Y1579" s="61"/>
      <c r="Z1579" s="61"/>
    </row>
    <row r="1580" ht="15.75" customHeight="1">
      <c r="A1580" s="61"/>
      <c r="B1580" s="61"/>
      <c r="C1580" s="61"/>
      <c r="D1580" s="61"/>
      <c r="E1580" s="61"/>
      <c r="F1580" s="61"/>
      <c r="G1580" s="61"/>
      <c r="H1580" s="63"/>
      <c r="I1580" s="61"/>
      <c r="J1580" s="61"/>
      <c r="K1580" s="61"/>
      <c r="L1580" s="61"/>
      <c r="M1580" s="61"/>
      <c r="N1580" s="61"/>
      <c r="O1580" s="61"/>
      <c r="P1580" s="61"/>
      <c r="Q1580" s="61"/>
      <c r="R1580" s="61"/>
      <c r="S1580" s="61"/>
      <c r="T1580" s="61"/>
      <c r="U1580" s="61"/>
      <c r="V1580" s="61"/>
      <c r="W1580" s="61"/>
      <c r="X1580" s="61"/>
      <c r="Y1580" s="61"/>
      <c r="Z1580" s="61"/>
    </row>
    <row r="1581" ht="15.75" customHeight="1">
      <c r="A1581" s="61"/>
      <c r="B1581" s="61"/>
      <c r="C1581" s="61"/>
      <c r="D1581" s="61"/>
      <c r="E1581" s="61"/>
      <c r="F1581" s="61"/>
      <c r="G1581" s="61"/>
      <c r="H1581" s="63"/>
      <c r="I1581" s="61"/>
      <c r="J1581" s="61"/>
      <c r="K1581" s="61"/>
      <c r="L1581" s="61"/>
      <c r="M1581" s="61"/>
      <c r="N1581" s="61"/>
      <c r="O1581" s="61"/>
      <c r="P1581" s="61"/>
      <c r="Q1581" s="61"/>
      <c r="R1581" s="61"/>
      <c r="S1581" s="61"/>
      <c r="T1581" s="61"/>
      <c r="U1581" s="61"/>
      <c r="V1581" s="61"/>
      <c r="W1581" s="61"/>
      <c r="X1581" s="61"/>
      <c r="Y1581" s="61"/>
      <c r="Z1581" s="61"/>
    </row>
    <row r="1582" ht="15.75" customHeight="1">
      <c r="A1582" s="61"/>
      <c r="B1582" s="61"/>
      <c r="C1582" s="61"/>
      <c r="D1582" s="61"/>
      <c r="E1582" s="61"/>
      <c r="F1582" s="61"/>
      <c r="G1582" s="61"/>
      <c r="H1582" s="63"/>
      <c r="I1582" s="61"/>
      <c r="J1582" s="61"/>
      <c r="K1582" s="61"/>
      <c r="L1582" s="61"/>
      <c r="M1582" s="61"/>
      <c r="N1582" s="61"/>
      <c r="O1582" s="61"/>
      <c r="P1582" s="61"/>
      <c r="Q1582" s="61"/>
      <c r="R1582" s="61"/>
      <c r="S1582" s="61"/>
      <c r="T1582" s="61"/>
      <c r="U1582" s="61"/>
      <c r="V1582" s="61"/>
      <c r="W1582" s="61"/>
      <c r="X1582" s="61"/>
      <c r="Y1582" s="61"/>
      <c r="Z1582" s="61"/>
    </row>
    <row r="1583" ht="15.75" customHeight="1">
      <c r="A1583" s="61"/>
      <c r="B1583" s="61"/>
      <c r="C1583" s="61"/>
      <c r="D1583" s="61"/>
      <c r="E1583" s="61"/>
      <c r="F1583" s="61"/>
      <c r="G1583" s="61"/>
      <c r="H1583" s="63"/>
      <c r="I1583" s="61"/>
      <c r="J1583" s="61"/>
      <c r="K1583" s="61"/>
      <c r="L1583" s="61"/>
      <c r="M1583" s="61"/>
      <c r="N1583" s="61"/>
      <c r="O1583" s="61"/>
      <c r="P1583" s="61"/>
      <c r="Q1583" s="61"/>
      <c r="R1583" s="61"/>
      <c r="S1583" s="61"/>
      <c r="T1583" s="61"/>
      <c r="U1583" s="61"/>
      <c r="V1583" s="61"/>
      <c r="W1583" s="61"/>
      <c r="X1583" s="61"/>
      <c r="Y1583" s="61"/>
      <c r="Z1583" s="61"/>
    </row>
    <row r="1584" ht="15.75" customHeight="1">
      <c r="A1584" s="61"/>
      <c r="B1584" s="61"/>
      <c r="C1584" s="61"/>
      <c r="D1584" s="61"/>
      <c r="E1584" s="61"/>
      <c r="F1584" s="61"/>
      <c r="G1584" s="61"/>
      <c r="H1584" s="63"/>
      <c r="I1584" s="61"/>
      <c r="J1584" s="61"/>
      <c r="K1584" s="61"/>
      <c r="L1584" s="61"/>
      <c r="M1584" s="61"/>
      <c r="N1584" s="61"/>
      <c r="O1584" s="61"/>
      <c r="P1584" s="61"/>
      <c r="Q1584" s="61"/>
      <c r="R1584" s="61"/>
      <c r="S1584" s="61"/>
      <c r="T1584" s="61"/>
      <c r="U1584" s="61"/>
      <c r="V1584" s="61"/>
      <c r="W1584" s="61"/>
      <c r="X1584" s="61"/>
      <c r="Y1584" s="61"/>
      <c r="Z1584" s="61"/>
    </row>
    <row r="1585" ht="15.75" customHeight="1">
      <c r="A1585" s="61"/>
      <c r="B1585" s="61"/>
      <c r="C1585" s="61"/>
      <c r="D1585" s="61"/>
      <c r="E1585" s="61"/>
      <c r="F1585" s="61"/>
      <c r="G1585" s="61"/>
      <c r="H1585" s="63"/>
      <c r="I1585" s="61"/>
      <c r="J1585" s="61"/>
      <c r="K1585" s="61"/>
      <c r="L1585" s="61"/>
      <c r="M1585" s="61"/>
      <c r="N1585" s="61"/>
      <c r="O1585" s="61"/>
      <c r="P1585" s="61"/>
      <c r="Q1585" s="61"/>
      <c r="R1585" s="61"/>
      <c r="S1585" s="61"/>
      <c r="T1585" s="61"/>
      <c r="U1585" s="61"/>
      <c r="V1585" s="61"/>
      <c r="W1585" s="61"/>
      <c r="X1585" s="61"/>
      <c r="Y1585" s="61"/>
      <c r="Z1585" s="61"/>
    </row>
    <row r="1586" ht="15.75" customHeight="1">
      <c r="A1586" s="61"/>
      <c r="B1586" s="61"/>
      <c r="C1586" s="61"/>
      <c r="D1586" s="61"/>
      <c r="E1586" s="61"/>
      <c r="F1586" s="61"/>
      <c r="G1586" s="61"/>
      <c r="H1586" s="63"/>
      <c r="I1586" s="61"/>
      <c r="J1586" s="61"/>
      <c r="K1586" s="61"/>
      <c r="L1586" s="61"/>
      <c r="M1586" s="61"/>
      <c r="N1586" s="61"/>
      <c r="O1586" s="61"/>
      <c r="P1586" s="61"/>
      <c r="Q1586" s="61"/>
      <c r="R1586" s="61"/>
      <c r="S1586" s="61"/>
      <c r="T1586" s="61"/>
      <c r="U1586" s="61"/>
      <c r="V1586" s="61"/>
      <c r="W1586" s="61"/>
      <c r="X1586" s="61"/>
      <c r="Y1586" s="61"/>
      <c r="Z1586" s="61"/>
    </row>
    <row r="1587" ht="15.75" customHeight="1">
      <c r="A1587" s="61"/>
      <c r="B1587" s="61"/>
      <c r="C1587" s="61"/>
      <c r="D1587" s="61"/>
      <c r="E1587" s="61"/>
      <c r="F1587" s="61"/>
      <c r="G1587" s="61"/>
      <c r="H1587" s="63"/>
      <c r="I1587" s="61"/>
      <c r="J1587" s="61"/>
      <c r="K1587" s="61"/>
      <c r="L1587" s="61"/>
      <c r="M1587" s="61"/>
      <c r="N1587" s="61"/>
      <c r="O1587" s="61"/>
      <c r="P1587" s="61"/>
      <c r="Q1587" s="61"/>
      <c r="R1587" s="61"/>
      <c r="S1587" s="61"/>
      <c r="T1587" s="61"/>
      <c r="U1587" s="61"/>
      <c r="V1587" s="61"/>
      <c r="W1587" s="61"/>
      <c r="X1587" s="61"/>
      <c r="Y1587" s="61"/>
      <c r="Z1587" s="61"/>
    </row>
    <row r="1588" ht="15.75" customHeight="1">
      <c r="A1588" s="61"/>
      <c r="B1588" s="61"/>
      <c r="C1588" s="61"/>
      <c r="D1588" s="61"/>
      <c r="E1588" s="61"/>
      <c r="F1588" s="61"/>
      <c r="G1588" s="61"/>
      <c r="H1588" s="63"/>
      <c r="I1588" s="61"/>
      <c r="J1588" s="61"/>
      <c r="K1588" s="61"/>
      <c r="L1588" s="61"/>
      <c r="M1588" s="61"/>
      <c r="N1588" s="61"/>
      <c r="O1588" s="61"/>
      <c r="P1588" s="61"/>
      <c r="Q1588" s="61"/>
      <c r="R1588" s="61"/>
      <c r="S1588" s="61"/>
      <c r="T1588" s="61"/>
      <c r="U1588" s="61"/>
      <c r="V1588" s="61"/>
      <c r="W1588" s="61"/>
      <c r="X1588" s="61"/>
      <c r="Y1588" s="61"/>
      <c r="Z1588" s="61"/>
    </row>
    <row r="1589" ht="15.75" customHeight="1">
      <c r="A1589" s="61"/>
      <c r="B1589" s="61"/>
      <c r="C1589" s="61"/>
      <c r="D1589" s="61"/>
      <c r="E1589" s="61"/>
      <c r="F1589" s="61"/>
      <c r="G1589" s="61"/>
      <c r="H1589" s="63"/>
      <c r="I1589" s="61"/>
      <c r="J1589" s="61"/>
      <c r="K1589" s="61"/>
      <c r="L1589" s="61"/>
      <c r="M1589" s="61"/>
      <c r="N1589" s="61"/>
      <c r="O1589" s="61"/>
      <c r="P1589" s="61"/>
      <c r="Q1589" s="61"/>
      <c r="R1589" s="61"/>
      <c r="S1589" s="61"/>
      <c r="T1589" s="61"/>
      <c r="U1589" s="61"/>
      <c r="V1589" s="61"/>
      <c r="W1589" s="61"/>
      <c r="X1589" s="61"/>
      <c r="Y1589" s="61"/>
      <c r="Z1589" s="61"/>
    </row>
    <row r="1590" ht="15.75" customHeight="1">
      <c r="A1590" s="61"/>
      <c r="B1590" s="61"/>
      <c r="C1590" s="61"/>
      <c r="D1590" s="61"/>
      <c r="E1590" s="61"/>
      <c r="F1590" s="61"/>
      <c r="G1590" s="61"/>
      <c r="H1590" s="63"/>
      <c r="I1590" s="61"/>
      <c r="J1590" s="61"/>
      <c r="K1590" s="61"/>
      <c r="L1590" s="61"/>
      <c r="M1590" s="61"/>
      <c r="N1590" s="61"/>
      <c r="O1590" s="61"/>
      <c r="P1590" s="61"/>
      <c r="Q1590" s="61"/>
      <c r="R1590" s="61"/>
      <c r="S1590" s="61"/>
      <c r="T1590" s="61"/>
      <c r="U1590" s="61"/>
      <c r="V1590" s="61"/>
      <c r="W1590" s="61"/>
      <c r="X1590" s="61"/>
      <c r="Y1590" s="61"/>
      <c r="Z1590" s="61"/>
    </row>
    <row r="1591" ht="15.75" customHeight="1">
      <c r="A1591" s="61"/>
      <c r="B1591" s="61"/>
      <c r="C1591" s="61"/>
      <c r="D1591" s="61"/>
      <c r="E1591" s="61"/>
      <c r="F1591" s="61"/>
      <c r="G1591" s="61"/>
      <c r="H1591" s="63"/>
      <c r="I1591" s="61"/>
      <c r="J1591" s="61"/>
      <c r="K1591" s="61"/>
      <c r="L1591" s="61"/>
      <c r="M1591" s="61"/>
      <c r="N1591" s="61"/>
      <c r="O1591" s="61"/>
      <c r="P1591" s="61"/>
      <c r="Q1591" s="61"/>
      <c r="R1591" s="61"/>
      <c r="S1591" s="61"/>
      <c r="T1591" s="61"/>
      <c r="U1591" s="61"/>
      <c r="V1591" s="61"/>
      <c r="W1591" s="61"/>
      <c r="X1591" s="61"/>
      <c r="Y1591" s="61"/>
      <c r="Z1591" s="61"/>
    </row>
    <row r="1592" ht="15.75" customHeight="1">
      <c r="A1592" s="61"/>
      <c r="B1592" s="61"/>
      <c r="C1592" s="61"/>
      <c r="D1592" s="61"/>
      <c r="E1592" s="61"/>
      <c r="F1592" s="61"/>
      <c r="G1592" s="61"/>
      <c r="H1592" s="63"/>
      <c r="I1592" s="61"/>
      <c r="J1592" s="61"/>
      <c r="K1592" s="61"/>
      <c r="L1592" s="61"/>
      <c r="M1592" s="61"/>
      <c r="N1592" s="61"/>
      <c r="O1592" s="61"/>
      <c r="P1592" s="61"/>
      <c r="Q1592" s="61"/>
      <c r="R1592" s="61"/>
      <c r="S1592" s="61"/>
      <c r="T1592" s="61"/>
      <c r="U1592" s="61"/>
      <c r="V1592" s="61"/>
      <c r="W1592" s="61"/>
      <c r="X1592" s="61"/>
      <c r="Y1592" s="61"/>
      <c r="Z1592" s="61"/>
    </row>
    <row r="1593" ht="15.75" customHeight="1">
      <c r="A1593" s="61"/>
      <c r="B1593" s="61"/>
      <c r="C1593" s="61"/>
      <c r="D1593" s="61"/>
      <c r="E1593" s="61"/>
      <c r="F1593" s="61"/>
      <c r="G1593" s="61"/>
      <c r="H1593" s="63"/>
      <c r="I1593" s="61"/>
      <c r="J1593" s="61"/>
      <c r="K1593" s="61"/>
      <c r="L1593" s="61"/>
      <c r="M1593" s="61"/>
      <c r="N1593" s="61"/>
      <c r="O1593" s="61"/>
      <c r="P1593" s="61"/>
      <c r="Q1593" s="61"/>
      <c r="R1593" s="61"/>
      <c r="S1593" s="61"/>
      <c r="T1593" s="61"/>
      <c r="U1593" s="61"/>
      <c r="V1593" s="61"/>
      <c r="W1593" s="61"/>
      <c r="X1593" s="61"/>
      <c r="Y1593" s="61"/>
      <c r="Z1593" s="61"/>
    </row>
    <row r="1594" ht="15.75" customHeight="1">
      <c r="A1594" s="61"/>
      <c r="B1594" s="61"/>
      <c r="C1594" s="61"/>
      <c r="D1594" s="61"/>
      <c r="E1594" s="61"/>
      <c r="F1594" s="61"/>
      <c r="G1594" s="61"/>
      <c r="H1594" s="63"/>
      <c r="I1594" s="61"/>
      <c r="J1594" s="61"/>
      <c r="K1594" s="61"/>
      <c r="L1594" s="61"/>
      <c r="M1594" s="61"/>
      <c r="N1594" s="61"/>
      <c r="O1594" s="61"/>
      <c r="P1594" s="61"/>
      <c r="Q1594" s="61"/>
      <c r="R1594" s="61"/>
      <c r="S1594" s="61"/>
      <c r="T1594" s="61"/>
      <c r="U1594" s="61"/>
      <c r="V1594" s="61"/>
      <c r="W1594" s="61"/>
      <c r="X1594" s="61"/>
      <c r="Y1594" s="61"/>
      <c r="Z1594" s="61"/>
    </row>
    <row r="1595" ht="15.75" customHeight="1">
      <c r="A1595" s="61"/>
      <c r="B1595" s="61"/>
      <c r="C1595" s="61"/>
      <c r="D1595" s="61"/>
      <c r="E1595" s="61"/>
      <c r="F1595" s="61"/>
      <c r="G1595" s="61"/>
      <c r="H1595" s="63"/>
      <c r="I1595" s="61"/>
      <c r="J1595" s="61"/>
      <c r="K1595" s="61"/>
      <c r="L1595" s="61"/>
      <c r="M1595" s="61"/>
      <c r="N1595" s="61"/>
      <c r="O1595" s="61"/>
      <c r="P1595" s="61"/>
      <c r="Q1595" s="61"/>
      <c r="R1595" s="61"/>
      <c r="S1595" s="61"/>
      <c r="T1595" s="61"/>
      <c r="U1595" s="61"/>
      <c r="V1595" s="61"/>
      <c r="W1595" s="61"/>
      <c r="X1595" s="61"/>
      <c r="Y1595" s="61"/>
      <c r="Z1595" s="61"/>
    </row>
    <row r="1596" ht="15.75" customHeight="1">
      <c r="A1596" s="61"/>
      <c r="B1596" s="61"/>
      <c r="C1596" s="61"/>
      <c r="D1596" s="61"/>
      <c r="E1596" s="61"/>
      <c r="F1596" s="61"/>
      <c r="G1596" s="61"/>
      <c r="H1596" s="63"/>
      <c r="I1596" s="61"/>
      <c r="J1596" s="61"/>
      <c r="K1596" s="61"/>
      <c r="L1596" s="61"/>
      <c r="M1596" s="61"/>
      <c r="N1596" s="61"/>
      <c r="O1596" s="61"/>
      <c r="P1596" s="61"/>
      <c r="Q1596" s="61"/>
      <c r="R1596" s="61"/>
      <c r="S1596" s="61"/>
      <c r="T1596" s="61"/>
      <c r="U1596" s="61"/>
      <c r="V1596" s="61"/>
      <c r="W1596" s="61"/>
      <c r="X1596" s="61"/>
      <c r="Y1596" s="61"/>
      <c r="Z1596" s="61"/>
    </row>
    <row r="1597" ht="15.75" customHeight="1">
      <c r="A1597" s="61"/>
      <c r="B1597" s="61"/>
      <c r="C1597" s="61"/>
      <c r="D1597" s="61"/>
      <c r="E1597" s="61"/>
      <c r="F1597" s="61"/>
      <c r="G1597" s="61"/>
      <c r="H1597" s="63"/>
      <c r="I1597" s="61"/>
      <c r="J1597" s="61"/>
      <c r="K1597" s="61"/>
      <c r="L1597" s="61"/>
      <c r="M1597" s="61"/>
      <c r="N1597" s="61"/>
      <c r="O1597" s="61"/>
      <c r="P1597" s="61"/>
      <c r="Q1597" s="61"/>
      <c r="R1597" s="61"/>
      <c r="S1597" s="61"/>
      <c r="T1597" s="61"/>
      <c r="U1597" s="61"/>
      <c r="V1597" s="61"/>
      <c r="W1597" s="61"/>
      <c r="X1597" s="61"/>
      <c r="Y1597" s="61"/>
      <c r="Z1597" s="61"/>
    </row>
    <row r="1598" ht="15.75" customHeight="1">
      <c r="A1598" s="61"/>
      <c r="B1598" s="61"/>
      <c r="C1598" s="61"/>
      <c r="D1598" s="61"/>
      <c r="E1598" s="61"/>
      <c r="F1598" s="61"/>
      <c r="G1598" s="61"/>
      <c r="H1598" s="63"/>
      <c r="I1598" s="61"/>
      <c r="J1598" s="61"/>
      <c r="K1598" s="61"/>
      <c r="L1598" s="61"/>
      <c r="M1598" s="61"/>
      <c r="N1598" s="61"/>
      <c r="O1598" s="61"/>
      <c r="P1598" s="61"/>
      <c r="Q1598" s="61"/>
      <c r="R1598" s="61"/>
      <c r="S1598" s="61"/>
      <c r="T1598" s="61"/>
      <c r="U1598" s="61"/>
      <c r="V1598" s="61"/>
      <c r="W1598" s="61"/>
      <c r="X1598" s="61"/>
      <c r="Y1598" s="61"/>
      <c r="Z1598" s="61"/>
    </row>
    <row r="1599" ht="15.75" customHeight="1">
      <c r="A1599" s="61"/>
      <c r="B1599" s="61"/>
      <c r="C1599" s="61"/>
      <c r="D1599" s="61"/>
      <c r="E1599" s="61"/>
      <c r="F1599" s="61"/>
      <c r="G1599" s="61"/>
      <c r="H1599" s="63"/>
      <c r="I1599" s="61"/>
      <c r="J1599" s="61"/>
      <c r="K1599" s="61"/>
      <c r="L1599" s="61"/>
      <c r="M1599" s="61"/>
      <c r="N1599" s="61"/>
      <c r="O1599" s="61"/>
      <c r="P1599" s="61"/>
      <c r="Q1599" s="61"/>
      <c r="R1599" s="61"/>
      <c r="S1599" s="61"/>
      <c r="T1599" s="61"/>
      <c r="U1599" s="61"/>
      <c r="V1599" s="61"/>
      <c r="W1599" s="61"/>
      <c r="X1599" s="61"/>
      <c r="Y1599" s="61"/>
      <c r="Z1599" s="61"/>
    </row>
    <row r="1600" ht="15.75" customHeight="1">
      <c r="A1600" s="61"/>
      <c r="B1600" s="61"/>
      <c r="C1600" s="61"/>
      <c r="D1600" s="61"/>
      <c r="E1600" s="61"/>
      <c r="F1600" s="61"/>
      <c r="G1600" s="61"/>
      <c r="H1600" s="63"/>
      <c r="I1600" s="61"/>
      <c r="J1600" s="61"/>
      <c r="K1600" s="61"/>
      <c r="L1600" s="61"/>
      <c r="M1600" s="61"/>
      <c r="N1600" s="61"/>
      <c r="O1600" s="61"/>
      <c r="P1600" s="61"/>
      <c r="Q1600" s="61"/>
      <c r="R1600" s="61"/>
      <c r="S1600" s="61"/>
      <c r="T1600" s="61"/>
      <c r="U1600" s="61"/>
      <c r="V1600" s="61"/>
      <c r="W1600" s="61"/>
      <c r="X1600" s="61"/>
      <c r="Y1600" s="61"/>
      <c r="Z1600" s="61"/>
    </row>
    <row r="1601" ht="15.75" customHeight="1">
      <c r="A1601" s="61"/>
      <c r="B1601" s="61"/>
      <c r="C1601" s="61"/>
      <c r="D1601" s="61"/>
      <c r="E1601" s="61"/>
      <c r="F1601" s="61"/>
      <c r="G1601" s="61"/>
      <c r="H1601" s="63"/>
      <c r="I1601" s="61"/>
      <c r="J1601" s="61"/>
      <c r="K1601" s="61"/>
      <c r="L1601" s="61"/>
      <c r="M1601" s="61"/>
      <c r="N1601" s="61"/>
      <c r="O1601" s="61"/>
      <c r="P1601" s="61"/>
      <c r="Q1601" s="61"/>
      <c r="R1601" s="61"/>
      <c r="S1601" s="61"/>
      <c r="T1601" s="61"/>
      <c r="U1601" s="61"/>
      <c r="V1601" s="61"/>
      <c r="W1601" s="61"/>
      <c r="X1601" s="61"/>
      <c r="Y1601" s="61"/>
      <c r="Z1601" s="61"/>
    </row>
    <row r="1602" ht="15.75" customHeight="1">
      <c r="A1602" s="61"/>
      <c r="B1602" s="61"/>
      <c r="C1602" s="61"/>
      <c r="D1602" s="61"/>
      <c r="E1602" s="61"/>
      <c r="F1602" s="61"/>
      <c r="G1602" s="61"/>
      <c r="H1602" s="63"/>
      <c r="I1602" s="61"/>
      <c r="J1602" s="61"/>
      <c r="K1602" s="61"/>
      <c r="L1602" s="61"/>
      <c r="M1602" s="61"/>
      <c r="N1602" s="61"/>
      <c r="O1602" s="61"/>
      <c r="P1602" s="61"/>
      <c r="Q1602" s="61"/>
      <c r="R1602" s="61"/>
      <c r="S1602" s="61"/>
      <c r="T1602" s="61"/>
      <c r="U1602" s="61"/>
      <c r="V1602" s="61"/>
      <c r="W1602" s="61"/>
      <c r="X1602" s="61"/>
      <c r="Y1602" s="61"/>
      <c r="Z1602" s="61"/>
    </row>
    <row r="1603" ht="15.75" customHeight="1">
      <c r="A1603" s="61"/>
      <c r="B1603" s="61"/>
      <c r="C1603" s="61"/>
      <c r="D1603" s="61"/>
      <c r="E1603" s="61"/>
      <c r="F1603" s="61"/>
      <c r="G1603" s="61"/>
      <c r="H1603" s="63"/>
      <c r="I1603" s="61"/>
      <c r="J1603" s="61"/>
      <c r="K1603" s="61"/>
      <c r="L1603" s="61"/>
      <c r="M1603" s="61"/>
      <c r="N1603" s="61"/>
      <c r="O1603" s="61"/>
      <c r="P1603" s="61"/>
      <c r="Q1603" s="61"/>
      <c r="R1603" s="61"/>
      <c r="S1603" s="61"/>
      <c r="T1603" s="61"/>
      <c r="U1603" s="61"/>
      <c r="V1603" s="61"/>
      <c r="W1603" s="61"/>
      <c r="X1603" s="61"/>
      <c r="Y1603" s="61"/>
      <c r="Z1603" s="61"/>
    </row>
    <row r="1604" ht="15.75" customHeight="1">
      <c r="A1604" s="61"/>
      <c r="B1604" s="61"/>
      <c r="C1604" s="61"/>
      <c r="D1604" s="61"/>
      <c r="E1604" s="61"/>
      <c r="F1604" s="61"/>
      <c r="G1604" s="61"/>
      <c r="H1604" s="63"/>
      <c r="I1604" s="61"/>
      <c r="J1604" s="61"/>
      <c r="K1604" s="61"/>
      <c r="L1604" s="61"/>
      <c r="M1604" s="61"/>
      <c r="N1604" s="61"/>
      <c r="O1604" s="61"/>
      <c r="P1604" s="61"/>
      <c r="Q1604" s="61"/>
      <c r="R1604" s="61"/>
      <c r="S1604" s="61"/>
      <c r="T1604" s="61"/>
      <c r="U1604" s="61"/>
      <c r="V1604" s="61"/>
      <c r="W1604" s="61"/>
      <c r="X1604" s="61"/>
      <c r="Y1604" s="61"/>
      <c r="Z1604" s="61"/>
    </row>
    <row r="1605" ht="15.75" customHeight="1">
      <c r="A1605" s="61"/>
      <c r="B1605" s="61"/>
      <c r="C1605" s="61"/>
      <c r="D1605" s="61"/>
      <c r="E1605" s="61"/>
      <c r="F1605" s="61"/>
      <c r="G1605" s="61"/>
      <c r="H1605" s="63"/>
      <c r="I1605" s="61"/>
      <c r="J1605" s="61"/>
      <c r="K1605" s="61"/>
      <c r="L1605" s="61"/>
      <c r="M1605" s="61"/>
      <c r="N1605" s="61"/>
      <c r="O1605" s="61"/>
      <c r="P1605" s="61"/>
      <c r="Q1605" s="61"/>
      <c r="R1605" s="61"/>
      <c r="S1605" s="61"/>
      <c r="T1605" s="61"/>
      <c r="U1605" s="61"/>
      <c r="V1605" s="61"/>
      <c r="W1605" s="61"/>
      <c r="X1605" s="61"/>
      <c r="Y1605" s="61"/>
      <c r="Z1605" s="61"/>
    </row>
    <row r="1606" ht="15.75" customHeight="1">
      <c r="A1606" s="61"/>
      <c r="B1606" s="61"/>
      <c r="C1606" s="61"/>
      <c r="D1606" s="61"/>
      <c r="E1606" s="61"/>
      <c r="F1606" s="61"/>
      <c r="G1606" s="61"/>
      <c r="H1606" s="63"/>
      <c r="I1606" s="61"/>
      <c r="J1606" s="61"/>
      <c r="K1606" s="61"/>
      <c r="L1606" s="61"/>
      <c r="M1606" s="61"/>
      <c r="N1606" s="61"/>
      <c r="O1606" s="61"/>
      <c r="P1606" s="61"/>
      <c r="Q1606" s="61"/>
      <c r="R1606" s="61"/>
      <c r="S1606" s="61"/>
      <c r="T1606" s="61"/>
      <c r="U1606" s="61"/>
      <c r="V1606" s="61"/>
      <c r="W1606" s="61"/>
      <c r="X1606" s="61"/>
      <c r="Y1606" s="61"/>
      <c r="Z1606" s="61"/>
    </row>
    <row r="1607" ht="15.75" customHeight="1">
      <c r="A1607" s="61"/>
      <c r="B1607" s="61"/>
      <c r="C1607" s="61"/>
      <c r="D1607" s="61"/>
      <c r="E1607" s="61"/>
      <c r="F1607" s="61"/>
      <c r="G1607" s="61"/>
      <c r="H1607" s="63"/>
      <c r="I1607" s="61"/>
      <c r="J1607" s="61"/>
      <c r="K1607" s="61"/>
      <c r="L1607" s="61"/>
      <c r="M1607" s="61"/>
      <c r="N1607" s="61"/>
      <c r="O1607" s="61"/>
      <c r="P1607" s="61"/>
      <c r="Q1607" s="61"/>
      <c r="R1607" s="61"/>
      <c r="S1607" s="61"/>
      <c r="T1607" s="61"/>
      <c r="U1607" s="61"/>
      <c r="V1607" s="61"/>
      <c r="W1607" s="61"/>
      <c r="X1607" s="61"/>
      <c r="Y1607" s="61"/>
      <c r="Z1607" s="61"/>
    </row>
    <row r="1608" ht="15.75" customHeight="1">
      <c r="A1608" s="61"/>
      <c r="B1608" s="61"/>
      <c r="C1608" s="61"/>
      <c r="D1608" s="61"/>
      <c r="E1608" s="61"/>
      <c r="F1608" s="61"/>
      <c r="G1608" s="61"/>
      <c r="H1608" s="63"/>
      <c r="I1608" s="61"/>
      <c r="J1608" s="61"/>
      <c r="K1608" s="61"/>
      <c r="L1608" s="61"/>
      <c r="M1608" s="61"/>
      <c r="N1608" s="61"/>
      <c r="O1608" s="61"/>
      <c r="P1608" s="61"/>
      <c r="Q1608" s="61"/>
      <c r="R1608" s="61"/>
      <c r="S1608" s="61"/>
      <c r="T1608" s="61"/>
      <c r="U1608" s="61"/>
      <c r="V1608" s="61"/>
      <c r="W1608" s="61"/>
      <c r="X1608" s="61"/>
      <c r="Y1608" s="61"/>
      <c r="Z1608" s="61"/>
    </row>
    <row r="1609" ht="15.75" customHeight="1">
      <c r="A1609" s="61"/>
      <c r="B1609" s="61"/>
      <c r="C1609" s="61"/>
      <c r="D1609" s="61"/>
      <c r="E1609" s="61"/>
      <c r="F1609" s="61"/>
      <c r="G1609" s="61"/>
      <c r="H1609" s="63"/>
      <c r="I1609" s="61"/>
      <c r="J1609" s="61"/>
      <c r="K1609" s="61"/>
      <c r="L1609" s="61"/>
      <c r="M1609" s="61"/>
      <c r="N1609" s="61"/>
      <c r="O1609" s="61"/>
      <c r="P1609" s="61"/>
      <c r="Q1609" s="61"/>
      <c r="R1609" s="61"/>
      <c r="S1609" s="61"/>
      <c r="T1609" s="61"/>
      <c r="U1609" s="61"/>
      <c r="V1609" s="61"/>
      <c r="W1609" s="61"/>
      <c r="X1609" s="61"/>
      <c r="Y1609" s="61"/>
      <c r="Z1609" s="61"/>
    </row>
    <row r="1610" ht="15.75" customHeight="1">
      <c r="A1610" s="61"/>
      <c r="B1610" s="61"/>
      <c r="C1610" s="61"/>
      <c r="D1610" s="61"/>
      <c r="E1610" s="61"/>
      <c r="F1610" s="61"/>
      <c r="G1610" s="61"/>
      <c r="H1610" s="63"/>
      <c r="I1610" s="61"/>
      <c r="J1610" s="61"/>
      <c r="K1610" s="61"/>
      <c r="L1610" s="61"/>
      <c r="M1610" s="61"/>
      <c r="N1610" s="61"/>
      <c r="O1610" s="61"/>
      <c r="P1610" s="61"/>
      <c r="Q1610" s="61"/>
      <c r="R1610" s="61"/>
      <c r="S1610" s="61"/>
      <c r="T1610" s="61"/>
      <c r="U1610" s="61"/>
      <c r="V1610" s="61"/>
      <c r="W1610" s="61"/>
      <c r="X1610" s="61"/>
      <c r="Y1610" s="61"/>
      <c r="Z1610" s="61"/>
    </row>
    <row r="1611" ht="15.75" customHeight="1">
      <c r="A1611" s="61"/>
      <c r="B1611" s="61"/>
      <c r="C1611" s="61"/>
      <c r="D1611" s="61"/>
      <c r="E1611" s="61"/>
      <c r="F1611" s="61"/>
      <c r="G1611" s="61"/>
      <c r="H1611" s="63"/>
      <c r="I1611" s="61"/>
      <c r="J1611" s="61"/>
      <c r="K1611" s="61"/>
      <c r="L1611" s="61"/>
      <c r="M1611" s="61"/>
      <c r="N1611" s="61"/>
      <c r="O1611" s="61"/>
      <c r="P1611" s="61"/>
      <c r="Q1611" s="61"/>
      <c r="R1611" s="61"/>
      <c r="S1611" s="61"/>
      <c r="T1611" s="61"/>
      <c r="U1611" s="61"/>
      <c r="V1611" s="61"/>
      <c r="W1611" s="61"/>
      <c r="X1611" s="61"/>
      <c r="Y1611" s="61"/>
      <c r="Z1611" s="61"/>
    </row>
    <row r="1612" ht="15.75" customHeight="1">
      <c r="A1612" s="61"/>
      <c r="B1612" s="61"/>
      <c r="C1612" s="61"/>
      <c r="D1612" s="61"/>
      <c r="E1612" s="61"/>
      <c r="F1612" s="61"/>
      <c r="G1612" s="61"/>
      <c r="H1612" s="63"/>
      <c r="I1612" s="61"/>
      <c r="J1612" s="61"/>
      <c r="K1612" s="61"/>
      <c r="L1612" s="61"/>
      <c r="M1612" s="61"/>
      <c r="N1612" s="61"/>
      <c r="O1612" s="61"/>
      <c r="P1612" s="61"/>
      <c r="Q1612" s="61"/>
      <c r="R1612" s="61"/>
      <c r="S1612" s="61"/>
      <c r="T1612" s="61"/>
      <c r="U1612" s="61"/>
      <c r="V1612" s="61"/>
      <c r="W1612" s="61"/>
      <c r="X1612" s="61"/>
      <c r="Y1612" s="61"/>
      <c r="Z1612" s="61"/>
    </row>
    <row r="1613" ht="15.75" customHeight="1">
      <c r="A1613" s="61"/>
      <c r="B1613" s="61"/>
      <c r="C1613" s="61"/>
      <c r="D1613" s="61"/>
      <c r="E1613" s="61"/>
      <c r="F1613" s="61"/>
      <c r="G1613" s="61"/>
      <c r="H1613" s="63"/>
      <c r="I1613" s="61"/>
      <c r="J1613" s="61"/>
      <c r="K1613" s="61"/>
      <c r="L1613" s="61"/>
      <c r="M1613" s="61"/>
      <c r="N1613" s="61"/>
      <c r="O1613" s="61"/>
      <c r="P1613" s="61"/>
      <c r="Q1613" s="61"/>
      <c r="R1613" s="61"/>
      <c r="S1613" s="61"/>
      <c r="T1613" s="61"/>
      <c r="U1613" s="61"/>
      <c r="V1613" s="61"/>
      <c r="W1613" s="61"/>
      <c r="X1613" s="61"/>
      <c r="Y1613" s="61"/>
      <c r="Z1613" s="61"/>
    </row>
    <row r="1614" ht="15.75" customHeight="1">
      <c r="A1614" s="61"/>
      <c r="B1614" s="61"/>
      <c r="C1614" s="61"/>
      <c r="D1614" s="61"/>
      <c r="E1614" s="61"/>
      <c r="F1614" s="61"/>
      <c r="G1614" s="61"/>
      <c r="H1614" s="63"/>
      <c r="I1614" s="61"/>
      <c r="J1614" s="61"/>
      <c r="K1614" s="61"/>
      <c r="L1614" s="61"/>
      <c r="M1614" s="61"/>
      <c r="N1614" s="61"/>
      <c r="O1614" s="61"/>
      <c r="P1614" s="61"/>
      <c r="Q1614" s="61"/>
      <c r="R1614" s="61"/>
      <c r="S1614" s="61"/>
      <c r="T1614" s="61"/>
      <c r="U1614" s="61"/>
      <c r="V1614" s="61"/>
      <c r="W1614" s="61"/>
      <c r="X1614" s="61"/>
      <c r="Y1614" s="61"/>
      <c r="Z1614" s="61"/>
    </row>
    <row r="1615" ht="15.75" customHeight="1">
      <c r="A1615" s="61"/>
      <c r="B1615" s="61"/>
      <c r="C1615" s="61"/>
      <c r="D1615" s="61"/>
      <c r="E1615" s="61"/>
      <c r="F1615" s="61"/>
      <c r="G1615" s="61"/>
      <c r="H1615" s="63"/>
      <c r="I1615" s="61"/>
      <c r="J1615" s="61"/>
      <c r="K1615" s="61"/>
      <c r="L1615" s="61"/>
      <c r="M1615" s="61"/>
      <c r="N1615" s="61"/>
      <c r="O1615" s="61"/>
      <c r="P1615" s="61"/>
      <c r="Q1615" s="61"/>
      <c r="R1615" s="61"/>
      <c r="S1615" s="61"/>
      <c r="T1615" s="61"/>
      <c r="U1615" s="61"/>
      <c r="V1615" s="61"/>
      <c r="W1615" s="61"/>
      <c r="X1615" s="61"/>
      <c r="Y1615" s="61"/>
      <c r="Z1615" s="61"/>
    </row>
    <row r="1616" ht="15.75" customHeight="1">
      <c r="A1616" s="61"/>
      <c r="B1616" s="61"/>
      <c r="C1616" s="61"/>
      <c r="D1616" s="61"/>
      <c r="E1616" s="61"/>
      <c r="F1616" s="61"/>
      <c r="G1616" s="61"/>
      <c r="H1616" s="63"/>
      <c r="I1616" s="61"/>
      <c r="J1616" s="61"/>
      <c r="K1616" s="61"/>
      <c r="L1616" s="61"/>
      <c r="M1616" s="61"/>
      <c r="N1616" s="61"/>
      <c r="O1616" s="61"/>
      <c r="P1616" s="61"/>
      <c r="Q1616" s="61"/>
      <c r="R1616" s="61"/>
      <c r="S1616" s="61"/>
      <c r="T1616" s="61"/>
      <c r="U1616" s="61"/>
      <c r="V1616" s="61"/>
      <c r="W1616" s="61"/>
      <c r="X1616" s="61"/>
      <c r="Y1616" s="61"/>
      <c r="Z1616" s="61"/>
    </row>
    <row r="1617" ht="15.75" customHeight="1">
      <c r="A1617" s="61"/>
      <c r="B1617" s="61"/>
      <c r="C1617" s="61"/>
      <c r="D1617" s="61"/>
      <c r="E1617" s="61"/>
      <c r="F1617" s="61"/>
      <c r="G1617" s="61"/>
      <c r="H1617" s="63"/>
      <c r="I1617" s="61"/>
      <c r="J1617" s="61"/>
      <c r="K1617" s="61"/>
      <c r="L1617" s="61"/>
      <c r="M1617" s="61"/>
      <c r="N1617" s="61"/>
      <c r="O1617" s="61"/>
      <c r="P1617" s="61"/>
      <c r="Q1617" s="61"/>
      <c r="R1617" s="61"/>
      <c r="S1617" s="61"/>
      <c r="T1617" s="61"/>
      <c r="U1617" s="61"/>
      <c r="V1617" s="61"/>
      <c r="W1617" s="61"/>
      <c r="X1617" s="61"/>
      <c r="Y1617" s="61"/>
      <c r="Z1617" s="61"/>
    </row>
    <row r="1618" ht="15.75" customHeight="1">
      <c r="A1618" s="61"/>
      <c r="B1618" s="61"/>
      <c r="C1618" s="61"/>
      <c r="D1618" s="61"/>
      <c r="E1618" s="61"/>
      <c r="F1618" s="61"/>
      <c r="G1618" s="61"/>
      <c r="H1618" s="63"/>
      <c r="I1618" s="61"/>
      <c r="J1618" s="61"/>
      <c r="K1618" s="61"/>
      <c r="L1618" s="61"/>
      <c r="M1618" s="61"/>
      <c r="N1618" s="61"/>
      <c r="O1618" s="61"/>
      <c r="P1618" s="61"/>
      <c r="Q1618" s="61"/>
      <c r="R1618" s="61"/>
      <c r="S1618" s="61"/>
      <c r="T1618" s="61"/>
      <c r="U1618" s="61"/>
      <c r="V1618" s="61"/>
      <c r="W1618" s="61"/>
      <c r="X1618" s="61"/>
      <c r="Y1618" s="61"/>
      <c r="Z1618" s="61"/>
    </row>
    <row r="1619" ht="15.75" customHeight="1">
      <c r="A1619" s="61"/>
      <c r="B1619" s="61"/>
      <c r="C1619" s="61"/>
      <c r="D1619" s="61"/>
      <c r="E1619" s="61"/>
      <c r="F1619" s="61"/>
      <c r="G1619" s="61"/>
      <c r="H1619" s="63"/>
      <c r="I1619" s="61"/>
      <c r="J1619" s="61"/>
      <c r="K1619" s="61"/>
      <c r="L1619" s="61"/>
      <c r="M1619" s="61"/>
      <c r="N1619" s="61"/>
      <c r="O1619" s="61"/>
      <c r="P1619" s="61"/>
      <c r="Q1619" s="61"/>
      <c r="R1619" s="61"/>
      <c r="S1619" s="61"/>
      <c r="T1619" s="61"/>
      <c r="U1619" s="61"/>
      <c r="V1619" s="61"/>
      <c r="W1619" s="61"/>
      <c r="X1619" s="61"/>
      <c r="Y1619" s="61"/>
      <c r="Z1619" s="61"/>
    </row>
    <row r="1620" ht="15.75" customHeight="1">
      <c r="A1620" s="61"/>
      <c r="B1620" s="61"/>
      <c r="C1620" s="61"/>
      <c r="D1620" s="61"/>
      <c r="E1620" s="61"/>
      <c r="F1620" s="61"/>
      <c r="G1620" s="61"/>
      <c r="H1620" s="63"/>
      <c r="I1620" s="61"/>
      <c r="J1620" s="61"/>
      <c r="K1620" s="61"/>
      <c r="L1620" s="61"/>
      <c r="M1620" s="61"/>
      <c r="N1620" s="61"/>
      <c r="O1620" s="61"/>
      <c r="P1620" s="61"/>
      <c r="Q1620" s="61"/>
      <c r="R1620" s="61"/>
      <c r="S1620" s="61"/>
      <c r="T1620" s="61"/>
      <c r="U1620" s="61"/>
      <c r="V1620" s="61"/>
      <c r="W1620" s="61"/>
      <c r="X1620" s="61"/>
      <c r="Y1620" s="61"/>
      <c r="Z1620" s="61"/>
    </row>
    <row r="1621" ht="15.75" customHeight="1">
      <c r="A1621" s="61"/>
      <c r="B1621" s="61"/>
      <c r="C1621" s="61"/>
      <c r="D1621" s="61"/>
      <c r="E1621" s="61"/>
      <c r="F1621" s="61"/>
      <c r="G1621" s="61"/>
      <c r="H1621" s="63"/>
      <c r="I1621" s="61"/>
      <c r="J1621" s="61"/>
      <c r="K1621" s="61"/>
      <c r="L1621" s="61"/>
      <c r="M1621" s="61"/>
      <c r="N1621" s="61"/>
      <c r="O1621" s="61"/>
      <c r="P1621" s="61"/>
      <c r="Q1621" s="61"/>
      <c r="R1621" s="61"/>
      <c r="S1621" s="61"/>
      <c r="T1621" s="61"/>
      <c r="U1621" s="61"/>
      <c r="V1621" s="61"/>
      <c r="W1621" s="61"/>
      <c r="X1621" s="61"/>
      <c r="Y1621" s="61"/>
      <c r="Z1621" s="61"/>
    </row>
    <row r="1622" ht="15.75" customHeight="1">
      <c r="A1622" s="61"/>
      <c r="B1622" s="61"/>
      <c r="C1622" s="61"/>
      <c r="D1622" s="61"/>
      <c r="E1622" s="61"/>
      <c r="F1622" s="61"/>
      <c r="G1622" s="61"/>
      <c r="H1622" s="63"/>
      <c r="I1622" s="61"/>
      <c r="J1622" s="61"/>
      <c r="K1622" s="61"/>
      <c r="L1622" s="61"/>
      <c r="M1622" s="61"/>
      <c r="N1622" s="61"/>
      <c r="O1622" s="61"/>
      <c r="P1622" s="61"/>
      <c r="Q1622" s="61"/>
      <c r="R1622" s="61"/>
      <c r="S1622" s="61"/>
      <c r="T1622" s="61"/>
      <c r="U1622" s="61"/>
      <c r="V1622" s="61"/>
      <c r="W1622" s="61"/>
      <c r="X1622" s="61"/>
      <c r="Y1622" s="61"/>
      <c r="Z1622" s="61"/>
    </row>
    <row r="1623" ht="15.75" customHeight="1">
      <c r="A1623" s="61"/>
      <c r="B1623" s="61"/>
      <c r="C1623" s="61"/>
      <c r="D1623" s="61"/>
      <c r="E1623" s="61"/>
      <c r="F1623" s="61"/>
      <c r="G1623" s="61"/>
      <c r="H1623" s="63"/>
      <c r="I1623" s="61"/>
      <c r="J1623" s="61"/>
      <c r="K1623" s="61"/>
      <c r="L1623" s="61"/>
      <c r="M1623" s="61"/>
      <c r="N1623" s="61"/>
      <c r="O1623" s="61"/>
      <c r="P1623" s="61"/>
      <c r="Q1623" s="61"/>
      <c r="R1623" s="61"/>
      <c r="S1623" s="61"/>
      <c r="T1623" s="61"/>
      <c r="U1623" s="61"/>
      <c r="V1623" s="61"/>
      <c r="W1623" s="61"/>
      <c r="X1623" s="61"/>
      <c r="Y1623" s="61"/>
      <c r="Z1623" s="61"/>
    </row>
    <row r="1624" ht="15.75" customHeight="1">
      <c r="A1624" s="61"/>
      <c r="B1624" s="61"/>
      <c r="C1624" s="61"/>
      <c r="D1624" s="61"/>
      <c r="E1624" s="61"/>
      <c r="F1624" s="61"/>
      <c r="G1624" s="61"/>
      <c r="H1624" s="63"/>
      <c r="I1624" s="61"/>
      <c r="J1624" s="61"/>
      <c r="K1624" s="61"/>
      <c r="L1624" s="61"/>
      <c r="M1624" s="61"/>
      <c r="N1624" s="61"/>
      <c r="O1624" s="61"/>
      <c r="P1624" s="61"/>
      <c r="Q1624" s="61"/>
      <c r="R1624" s="61"/>
      <c r="S1624" s="61"/>
      <c r="T1624" s="61"/>
      <c r="U1624" s="61"/>
      <c r="V1624" s="61"/>
      <c r="W1624" s="61"/>
      <c r="X1624" s="61"/>
      <c r="Y1624" s="61"/>
      <c r="Z1624" s="61"/>
    </row>
    <row r="1625" ht="15.75" customHeight="1">
      <c r="A1625" s="61"/>
      <c r="B1625" s="61"/>
      <c r="C1625" s="61"/>
      <c r="D1625" s="61"/>
      <c r="E1625" s="61"/>
      <c r="F1625" s="61"/>
      <c r="G1625" s="61"/>
      <c r="H1625" s="63"/>
      <c r="I1625" s="61"/>
      <c r="J1625" s="61"/>
      <c r="K1625" s="61"/>
      <c r="L1625" s="61"/>
      <c r="M1625" s="61"/>
      <c r="N1625" s="61"/>
      <c r="O1625" s="61"/>
      <c r="P1625" s="61"/>
      <c r="Q1625" s="61"/>
      <c r="R1625" s="61"/>
      <c r="S1625" s="61"/>
      <c r="T1625" s="61"/>
      <c r="U1625" s="61"/>
      <c r="V1625" s="61"/>
      <c r="W1625" s="61"/>
      <c r="X1625" s="61"/>
      <c r="Y1625" s="61"/>
      <c r="Z1625" s="61"/>
    </row>
    <row r="1626" ht="15.75" customHeight="1">
      <c r="A1626" s="61"/>
      <c r="B1626" s="61"/>
      <c r="C1626" s="61"/>
      <c r="D1626" s="61"/>
      <c r="E1626" s="61"/>
      <c r="F1626" s="61"/>
      <c r="G1626" s="61"/>
      <c r="H1626" s="63"/>
      <c r="I1626" s="61"/>
      <c r="J1626" s="61"/>
      <c r="K1626" s="61"/>
      <c r="L1626" s="61"/>
      <c r="M1626" s="61"/>
      <c r="N1626" s="61"/>
      <c r="O1626" s="61"/>
      <c r="P1626" s="61"/>
      <c r="Q1626" s="61"/>
      <c r="R1626" s="61"/>
      <c r="S1626" s="61"/>
      <c r="T1626" s="61"/>
      <c r="U1626" s="61"/>
      <c r="V1626" s="61"/>
      <c r="W1626" s="61"/>
      <c r="X1626" s="61"/>
      <c r="Y1626" s="61"/>
      <c r="Z1626" s="61"/>
    </row>
    <row r="1627" ht="15.75" customHeight="1">
      <c r="A1627" s="61"/>
      <c r="B1627" s="61"/>
      <c r="C1627" s="61"/>
      <c r="D1627" s="61"/>
      <c r="E1627" s="61"/>
      <c r="F1627" s="61"/>
      <c r="G1627" s="61"/>
      <c r="H1627" s="63"/>
      <c r="I1627" s="61"/>
      <c r="J1627" s="61"/>
      <c r="K1627" s="61"/>
      <c r="L1627" s="61"/>
      <c r="M1627" s="61"/>
      <c r="N1627" s="61"/>
      <c r="O1627" s="61"/>
      <c r="P1627" s="61"/>
      <c r="Q1627" s="61"/>
      <c r="R1627" s="61"/>
      <c r="S1627" s="61"/>
      <c r="T1627" s="61"/>
      <c r="U1627" s="61"/>
      <c r="V1627" s="61"/>
      <c r="W1627" s="61"/>
      <c r="X1627" s="61"/>
      <c r="Y1627" s="61"/>
      <c r="Z1627" s="61"/>
    </row>
    <row r="1628" ht="15.75" customHeight="1">
      <c r="A1628" s="61"/>
      <c r="B1628" s="61"/>
      <c r="C1628" s="61"/>
      <c r="D1628" s="61"/>
      <c r="E1628" s="61"/>
      <c r="F1628" s="61"/>
      <c r="G1628" s="61"/>
      <c r="H1628" s="63"/>
      <c r="I1628" s="61"/>
      <c r="J1628" s="61"/>
      <c r="K1628" s="61"/>
      <c r="L1628" s="61"/>
      <c r="M1628" s="61"/>
      <c r="N1628" s="61"/>
      <c r="O1628" s="61"/>
      <c r="P1628" s="61"/>
      <c r="Q1628" s="61"/>
      <c r="R1628" s="61"/>
      <c r="S1628" s="61"/>
      <c r="T1628" s="61"/>
      <c r="U1628" s="61"/>
      <c r="V1628" s="61"/>
      <c r="W1628" s="61"/>
      <c r="X1628" s="61"/>
      <c r="Y1628" s="61"/>
      <c r="Z1628" s="61"/>
    </row>
    <row r="1629" ht="15.75" customHeight="1">
      <c r="A1629" s="61"/>
      <c r="B1629" s="61"/>
      <c r="C1629" s="61"/>
      <c r="D1629" s="61"/>
      <c r="E1629" s="61"/>
      <c r="F1629" s="61"/>
      <c r="G1629" s="61"/>
      <c r="H1629" s="63"/>
      <c r="I1629" s="61"/>
      <c r="J1629" s="61"/>
      <c r="K1629" s="61"/>
      <c r="L1629" s="61"/>
      <c r="M1629" s="61"/>
      <c r="N1629" s="61"/>
      <c r="O1629" s="61"/>
      <c r="P1629" s="61"/>
      <c r="Q1629" s="61"/>
      <c r="R1629" s="61"/>
      <c r="S1629" s="61"/>
      <c r="T1629" s="61"/>
      <c r="U1629" s="61"/>
      <c r="V1629" s="61"/>
      <c r="W1629" s="61"/>
      <c r="X1629" s="61"/>
      <c r="Y1629" s="61"/>
      <c r="Z1629" s="61"/>
    </row>
    <row r="1630" ht="15.75" customHeight="1">
      <c r="A1630" s="61"/>
      <c r="B1630" s="61"/>
      <c r="C1630" s="61"/>
      <c r="D1630" s="61"/>
      <c r="E1630" s="61"/>
      <c r="F1630" s="61"/>
      <c r="G1630" s="61"/>
      <c r="H1630" s="63"/>
      <c r="I1630" s="61"/>
      <c r="J1630" s="61"/>
      <c r="K1630" s="61"/>
      <c r="L1630" s="61"/>
      <c r="M1630" s="61"/>
      <c r="N1630" s="61"/>
      <c r="O1630" s="61"/>
      <c r="P1630" s="61"/>
      <c r="Q1630" s="61"/>
      <c r="R1630" s="61"/>
      <c r="S1630" s="61"/>
      <c r="T1630" s="61"/>
      <c r="U1630" s="61"/>
      <c r="V1630" s="61"/>
      <c r="W1630" s="61"/>
      <c r="X1630" s="61"/>
      <c r="Y1630" s="61"/>
      <c r="Z1630" s="61"/>
    </row>
    <row r="1631" ht="15.75" customHeight="1">
      <c r="A1631" s="61"/>
      <c r="B1631" s="61"/>
      <c r="C1631" s="61"/>
      <c r="D1631" s="61"/>
      <c r="E1631" s="61"/>
      <c r="F1631" s="61"/>
      <c r="G1631" s="61"/>
      <c r="H1631" s="63"/>
      <c r="I1631" s="61"/>
      <c r="J1631" s="61"/>
      <c r="K1631" s="61"/>
      <c r="L1631" s="61"/>
      <c r="M1631" s="61"/>
      <c r="N1631" s="61"/>
      <c r="O1631" s="61"/>
      <c r="P1631" s="61"/>
      <c r="Q1631" s="61"/>
      <c r="R1631" s="61"/>
      <c r="S1631" s="61"/>
      <c r="T1631" s="61"/>
      <c r="U1631" s="61"/>
      <c r="V1631" s="61"/>
      <c r="W1631" s="61"/>
      <c r="X1631" s="61"/>
      <c r="Y1631" s="61"/>
      <c r="Z1631" s="61"/>
    </row>
    <row r="1632" ht="15.75" customHeight="1">
      <c r="A1632" s="61"/>
      <c r="B1632" s="61"/>
      <c r="C1632" s="61"/>
      <c r="D1632" s="61"/>
      <c r="E1632" s="61"/>
      <c r="F1632" s="61"/>
      <c r="G1632" s="61"/>
      <c r="H1632" s="63"/>
      <c r="I1632" s="61"/>
      <c r="J1632" s="61"/>
      <c r="K1632" s="61"/>
      <c r="L1632" s="61"/>
      <c r="M1632" s="61"/>
      <c r="N1632" s="61"/>
      <c r="O1632" s="61"/>
      <c r="P1632" s="61"/>
      <c r="Q1632" s="61"/>
      <c r="R1632" s="61"/>
      <c r="S1632" s="61"/>
      <c r="T1632" s="61"/>
      <c r="U1632" s="61"/>
      <c r="V1632" s="61"/>
      <c r="W1632" s="61"/>
      <c r="X1632" s="61"/>
      <c r="Y1632" s="61"/>
      <c r="Z1632" s="61"/>
    </row>
    <row r="1633" ht="15.75" customHeight="1">
      <c r="A1633" s="61"/>
      <c r="B1633" s="61"/>
      <c r="C1633" s="61"/>
      <c r="D1633" s="61"/>
      <c r="E1633" s="61"/>
      <c r="F1633" s="61"/>
      <c r="G1633" s="61"/>
      <c r="H1633" s="63"/>
      <c r="I1633" s="61"/>
      <c r="J1633" s="61"/>
      <c r="K1633" s="61"/>
      <c r="L1633" s="61"/>
      <c r="M1633" s="61"/>
      <c r="N1633" s="61"/>
      <c r="O1633" s="61"/>
      <c r="P1633" s="61"/>
      <c r="Q1633" s="61"/>
      <c r="R1633" s="61"/>
      <c r="S1633" s="61"/>
      <c r="T1633" s="61"/>
      <c r="U1633" s="61"/>
      <c r="V1633" s="61"/>
      <c r="W1633" s="61"/>
      <c r="X1633" s="61"/>
      <c r="Y1633" s="61"/>
      <c r="Z1633" s="61"/>
    </row>
    <row r="1634" ht="15.75" customHeight="1">
      <c r="A1634" s="61"/>
      <c r="B1634" s="61"/>
      <c r="C1634" s="61"/>
      <c r="D1634" s="61"/>
      <c r="E1634" s="61"/>
      <c r="F1634" s="61"/>
      <c r="G1634" s="61"/>
      <c r="H1634" s="63"/>
      <c r="I1634" s="61"/>
      <c r="J1634" s="61"/>
      <c r="K1634" s="61"/>
      <c r="L1634" s="61"/>
      <c r="M1634" s="61"/>
      <c r="N1634" s="61"/>
      <c r="O1634" s="61"/>
      <c r="P1634" s="61"/>
      <c r="Q1634" s="61"/>
      <c r="R1634" s="61"/>
      <c r="S1634" s="61"/>
      <c r="T1634" s="61"/>
      <c r="U1634" s="61"/>
      <c r="V1634" s="61"/>
      <c r="W1634" s="61"/>
      <c r="X1634" s="61"/>
      <c r="Y1634" s="61"/>
      <c r="Z1634" s="61"/>
    </row>
    <row r="1635" ht="15.75" customHeight="1">
      <c r="A1635" s="61"/>
      <c r="B1635" s="61"/>
      <c r="C1635" s="61"/>
      <c r="D1635" s="61"/>
      <c r="E1635" s="61"/>
      <c r="F1635" s="61"/>
      <c r="G1635" s="61"/>
      <c r="H1635" s="63"/>
      <c r="I1635" s="61"/>
      <c r="J1635" s="61"/>
      <c r="K1635" s="61"/>
      <c r="L1635" s="61"/>
      <c r="M1635" s="61"/>
      <c r="N1635" s="61"/>
      <c r="O1635" s="61"/>
      <c r="P1635" s="61"/>
      <c r="Q1635" s="61"/>
      <c r="R1635" s="61"/>
      <c r="S1635" s="61"/>
      <c r="T1635" s="61"/>
      <c r="U1635" s="61"/>
      <c r="V1635" s="61"/>
      <c r="W1635" s="61"/>
      <c r="X1635" s="61"/>
      <c r="Y1635" s="61"/>
      <c r="Z1635" s="61"/>
    </row>
    <row r="1636" ht="15.75" customHeight="1">
      <c r="A1636" s="61"/>
      <c r="B1636" s="61"/>
      <c r="C1636" s="61"/>
      <c r="D1636" s="61"/>
      <c r="E1636" s="61"/>
      <c r="F1636" s="61"/>
      <c r="G1636" s="61"/>
      <c r="H1636" s="63"/>
      <c r="I1636" s="61"/>
      <c r="J1636" s="61"/>
      <c r="K1636" s="61"/>
      <c r="L1636" s="61"/>
      <c r="M1636" s="61"/>
      <c r="N1636" s="61"/>
      <c r="O1636" s="61"/>
      <c r="P1636" s="61"/>
      <c r="Q1636" s="61"/>
      <c r="R1636" s="61"/>
      <c r="S1636" s="61"/>
      <c r="T1636" s="61"/>
      <c r="U1636" s="61"/>
      <c r="V1636" s="61"/>
      <c r="W1636" s="61"/>
      <c r="X1636" s="61"/>
      <c r="Y1636" s="61"/>
      <c r="Z1636" s="61"/>
    </row>
    <row r="1637" ht="15.75" customHeight="1">
      <c r="A1637" s="61"/>
      <c r="B1637" s="61"/>
      <c r="C1637" s="61"/>
      <c r="D1637" s="61"/>
      <c r="E1637" s="61"/>
      <c r="F1637" s="61"/>
      <c r="G1637" s="61"/>
      <c r="H1637" s="63"/>
      <c r="I1637" s="61"/>
      <c r="J1637" s="61"/>
      <c r="K1637" s="61"/>
      <c r="L1637" s="61"/>
      <c r="M1637" s="61"/>
      <c r="N1637" s="61"/>
      <c r="O1637" s="61"/>
      <c r="P1637" s="61"/>
      <c r="Q1637" s="61"/>
      <c r="R1637" s="61"/>
      <c r="S1637" s="61"/>
      <c r="T1637" s="61"/>
      <c r="U1637" s="61"/>
      <c r="V1637" s="61"/>
      <c r="W1637" s="61"/>
      <c r="X1637" s="61"/>
      <c r="Y1637" s="61"/>
      <c r="Z1637" s="61"/>
    </row>
    <row r="1638" ht="15.75" customHeight="1">
      <c r="A1638" s="61"/>
      <c r="B1638" s="61"/>
      <c r="C1638" s="61"/>
      <c r="D1638" s="61"/>
      <c r="E1638" s="61"/>
      <c r="F1638" s="61"/>
      <c r="G1638" s="61"/>
      <c r="H1638" s="63"/>
      <c r="I1638" s="61"/>
      <c r="J1638" s="61"/>
      <c r="K1638" s="61"/>
      <c r="L1638" s="61"/>
      <c r="M1638" s="61"/>
      <c r="N1638" s="61"/>
      <c r="O1638" s="61"/>
      <c r="P1638" s="61"/>
      <c r="Q1638" s="61"/>
      <c r="R1638" s="61"/>
      <c r="S1638" s="61"/>
      <c r="T1638" s="61"/>
      <c r="U1638" s="61"/>
      <c r="V1638" s="61"/>
      <c r="W1638" s="61"/>
      <c r="X1638" s="61"/>
      <c r="Y1638" s="61"/>
      <c r="Z1638" s="61"/>
    </row>
    <row r="1639" ht="15.75" customHeight="1">
      <c r="A1639" s="61"/>
      <c r="B1639" s="61"/>
      <c r="C1639" s="61"/>
      <c r="D1639" s="61"/>
      <c r="E1639" s="61"/>
      <c r="F1639" s="61"/>
      <c r="G1639" s="61"/>
      <c r="H1639" s="63"/>
      <c r="I1639" s="61"/>
      <c r="J1639" s="61"/>
      <c r="K1639" s="61"/>
      <c r="L1639" s="61"/>
      <c r="M1639" s="61"/>
      <c r="N1639" s="61"/>
      <c r="O1639" s="61"/>
      <c r="P1639" s="61"/>
      <c r="Q1639" s="61"/>
      <c r="R1639" s="61"/>
      <c r="S1639" s="61"/>
      <c r="T1639" s="61"/>
      <c r="U1639" s="61"/>
      <c r="V1639" s="61"/>
      <c r="W1639" s="61"/>
      <c r="X1639" s="61"/>
      <c r="Y1639" s="61"/>
      <c r="Z1639" s="61"/>
    </row>
    <row r="1640" ht="15.75" customHeight="1">
      <c r="A1640" s="61"/>
      <c r="B1640" s="61"/>
      <c r="C1640" s="61"/>
      <c r="D1640" s="61"/>
      <c r="E1640" s="61"/>
      <c r="F1640" s="61"/>
      <c r="G1640" s="61"/>
      <c r="H1640" s="63"/>
      <c r="I1640" s="61"/>
      <c r="J1640" s="61"/>
      <c r="K1640" s="61"/>
      <c r="L1640" s="61"/>
      <c r="M1640" s="61"/>
      <c r="N1640" s="61"/>
      <c r="O1640" s="61"/>
      <c r="P1640" s="61"/>
      <c r="Q1640" s="61"/>
      <c r="R1640" s="61"/>
      <c r="S1640" s="61"/>
      <c r="T1640" s="61"/>
      <c r="U1640" s="61"/>
      <c r="V1640" s="61"/>
      <c r="W1640" s="61"/>
      <c r="X1640" s="61"/>
      <c r="Y1640" s="61"/>
      <c r="Z1640" s="61"/>
    </row>
    <row r="1641" ht="15.75" customHeight="1">
      <c r="A1641" s="61"/>
      <c r="B1641" s="61"/>
      <c r="C1641" s="61"/>
      <c r="D1641" s="61"/>
      <c r="E1641" s="61"/>
      <c r="F1641" s="61"/>
      <c r="G1641" s="61"/>
      <c r="H1641" s="63"/>
      <c r="I1641" s="61"/>
      <c r="J1641" s="61"/>
      <c r="K1641" s="61"/>
      <c r="L1641" s="61"/>
      <c r="M1641" s="61"/>
      <c r="N1641" s="61"/>
      <c r="O1641" s="61"/>
      <c r="P1641" s="61"/>
      <c r="Q1641" s="61"/>
      <c r="R1641" s="61"/>
      <c r="S1641" s="61"/>
      <c r="T1641" s="61"/>
      <c r="U1641" s="61"/>
      <c r="V1641" s="61"/>
      <c r="W1641" s="61"/>
      <c r="X1641" s="61"/>
      <c r="Y1641" s="61"/>
      <c r="Z1641" s="61"/>
    </row>
    <row r="1642" ht="15.75" customHeight="1">
      <c r="A1642" s="61"/>
      <c r="B1642" s="61"/>
      <c r="C1642" s="61"/>
      <c r="D1642" s="61"/>
      <c r="E1642" s="61"/>
      <c r="F1642" s="61"/>
      <c r="G1642" s="61"/>
      <c r="H1642" s="63"/>
      <c r="I1642" s="61"/>
      <c r="J1642" s="61"/>
      <c r="K1642" s="61"/>
      <c r="L1642" s="61"/>
      <c r="M1642" s="61"/>
      <c r="N1642" s="61"/>
      <c r="O1642" s="61"/>
      <c r="P1642" s="61"/>
      <c r="Q1642" s="61"/>
      <c r="R1642" s="61"/>
      <c r="S1642" s="61"/>
      <c r="T1642" s="61"/>
      <c r="U1642" s="61"/>
      <c r="V1642" s="61"/>
      <c r="W1642" s="61"/>
      <c r="X1642" s="61"/>
      <c r="Y1642" s="61"/>
      <c r="Z1642" s="61"/>
    </row>
    <row r="1643" ht="15.75" customHeight="1">
      <c r="A1643" s="61"/>
      <c r="B1643" s="61"/>
      <c r="C1643" s="61"/>
      <c r="D1643" s="61"/>
      <c r="E1643" s="61"/>
      <c r="F1643" s="61"/>
      <c r="G1643" s="61"/>
      <c r="H1643" s="63"/>
      <c r="I1643" s="61"/>
      <c r="J1643" s="61"/>
      <c r="K1643" s="61"/>
      <c r="L1643" s="61"/>
      <c r="M1643" s="61"/>
      <c r="N1643" s="61"/>
      <c r="O1643" s="61"/>
      <c r="P1643" s="61"/>
      <c r="Q1643" s="61"/>
      <c r="R1643" s="61"/>
      <c r="S1643" s="61"/>
      <c r="T1643" s="61"/>
      <c r="U1643" s="61"/>
      <c r="V1643" s="61"/>
      <c r="W1643" s="61"/>
      <c r="X1643" s="61"/>
      <c r="Y1643" s="61"/>
      <c r="Z1643" s="61"/>
    </row>
    <row r="1644" ht="15.75" customHeight="1">
      <c r="A1644" s="61"/>
      <c r="B1644" s="61"/>
      <c r="C1644" s="61"/>
      <c r="D1644" s="61"/>
      <c r="E1644" s="61"/>
      <c r="F1644" s="61"/>
      <c r="G1644" s="61"/>
      <c r="H1644" s="63"/>
      <c r="I1644" s="61"/>
      <c r="J1644" s="61"/>
      <c r="K1644" s="61"/>
      <c r="L1644" s="61"/>
      <c r="M1644" s="61"/>
      <c r="N1644" s="61"/>
      <c r="O1644" s="61"/>
      <c r="P1644" s="61"/>
      <c r="Q1644" s="61"/>
      <c r="R1644" s="61"/>
      <c r="S1644" s="61"/>
      <c r="T1644" s="61"/>
      <c r="U1644" s="61"/>
      <c r="V1644" s="61"/>
      <c r="W1644" s="61"/>
      <c r="X1644" s="61"/>
      <c r="Y1644" s="61"/>
      <c r="Z1644" s="61"/>
    </row>
    <row r="1645" ht="15.75" customHeight="1">
      <c r="A1645" s="61"/>
      <c r="B1645" s="61"/>
      <c r="C1645" s="61"/>
      <c r="D1645" s="61"/>
      <c r="E1645" s="61"/>
      <c r="F1645" s="61"/>
      <c r="G1645" s="61"/>
      <c r="H1645" s="63"/>
      <c r="I1645" s="61"/>
      <c r="J1645" s="61"/>
      <c r="K1645" s="61"/>
      <c r="L1645" s="61"/>
      <c r="M1645" s="61"/>
      <c r="N1645" s="61"/>
      <c r="O1645" s="61"/>
      <c r="P1645" s="61"/>
      <c r="Q1645" s="61"/>
      <c r="R1645" s="61"/>
      <c r="S1645" s="61"/>
      <c r="T1645" s="61"/>
      <c r="U1645" s="61"/>
      <c r="V1645" s="61"/>
      <c r="W1645" s="61"/>
      <c r="X1645" s="61"/>
      <c r="Y1645" s="61"/>
      <c r="Z1645" s="61"/>
    </row>
    <row r="1646" ht="15.75" customHeight="1">
      <c r="A1646" s="61"/>
      <c r="B1646" s="61"/>
      <c r="C1646" s="61"/>
      <c r="D1646" s="61"/>
      <c r="E1646" s="61"/>
      <c r="F1646" s="61"/>
      <c r="G1646" s="61"/>
      <c r="H1646" s="63"/>
      <c r="I1646" s="61"/>
      <c r="J1646" s="61"/>
      <c r="K1646" s="61"/>
      <c r="L1646" s="61"/>
      <c r="M1646" s="61"/>
      <c r="N1646" s="61"/>
      <c r="O1646" s="61"/>
      <c r="P1646" s="61"/>
      <c r="Q1646" s="61"/>
      <c r="R1646" s="61"/>
      <c r="S1646" s="61"/>
      <c r="T1646" s="61"/>
      <c r="U1646" s="61"/>
      <c r="V1646" s="61"/>
      <c r="W1646" s="61"/>
      <c r="X1646" s="61"/>
      <c r="Y1646" s="61"/>
      <c r="Z1646" s="61"/>
    </row>
    <row r="1647" ht="15.75" customHeight="1">
      <c r="A1647" s="61"/>
      <c r="B1647" s="61"/>
      <c r="C1647" s="61"/>
      <c r="D1647" s="61"/>
      <c r="E1647" s="61"/>
      <c r="F1647" s="61"/>
      <c r="G1647" s="61"/>
      <c r="H1647" s="63"/>
      <c r="I1647" s="61"/>
      <c r="J1647" s="61"/>
      <c r="K1647" s="61"/>
      <c r="L1647" s="61"/>
      <c r="M1647" s="61"/>
      <c r="N1647" s="61"/>
      <c r="O1647" s="61"/>
      <c r="P1647" s="61"/>
      <c r="Q1647" s="61"/>
      <c r="R1647" s="61"/>
      <c r="S1647" s="61"/>
      <c r="T1647" s="61"/>
      <c r="U1647" s="61"/>
      <c r="V1647" s="61"/>
      <c r="W1647" s="61"/>
      <c r="X1647" s="61"/>
      <c r="Y1647" s="61"/>
      <c r="Z1647" s="61"/>
    </row>
    <row r="1648" ht="15.75" customHeight="1">
      <c r="A1648" s="61"/>
      <c r="B1648" s="61"/>
      <c r="C1648" s="61"/>
      <c r="D1648" s="61"/>
      <c r="E1648" s="61"/>
      <c r="F1648" s="61"/>
      <c r="G1648" s="61"/>
      <c r="H1648" s="63"/>
      <c r="I1648" s="61"/>
      <c r="J1648" s="61"/>
      <c r="K1648" s="61"/>
      <c r="L1648" s="61"/>
      <c r="M1648" s="61"/>
      <c r="N1648" s="61"/>
      <c r="O1648" s="61"/>
      <c r="P1648" s="61"/>
      <c r="Q1648" s="61"/>
      <c r="R1648" s="61"/>
      <c r="S1648" s="61"/>
      <c r="T1648" s="61"/>
      <c r="U1648" s="61"/>
      <c r="V1648" s="61"/>
      <c r="W1648" s="61"/>
      <c r="X1648" s="61"/>
      <c r="Y1648" s="61"/>
      <c r="Z1648" s="61"/>
    </row>
    <row r="1649" ht="15.75" customHeight="1">
      <c r="A1649" s="61"/>
      <c r="B1649" s="61"/>
      <c r="C1649" s="61"/>
      <c r="D1649" s="61"/>
      <c r="E1649" s="61"/>
      <c r="F1649" s="61"/>
      <c r="G1649" s="61"/>
      <c r="H1649" s="63"/>
      <c r="I1649" s="61"/>
      <c r="J1649" s="61"/>
      <c r="K1649" s="61"/>
      <c r="L1649" s="61"/>
      <c r="M1649" s="61"/>
      <c r="N1649" s="61"/>
      <c r="O1649" s="61"/>
      <c r="P1649" s="61"/>
      <c r="Q1649" s="61"/>
      <c r="R1649" s="61"/>
      <c r="S1649" s="61"/>
      <c r="T1649" s="61"/>
      <c r="U1649" s="61"/>
      <c r="V1649" s="61"/>
      <c r="W1649" s="61"/>
      <c r="X1649" s="61"/>
      <c r="Y1649" s="61"/>
      <c r="Z1649" s="61"/>
    </row>
    <row r="1650" ht="15.75" customHeight="1">
      <c r="A1650" s="61"/>
      <c r="B1650" s="61"/>
      <c r="C1650" s="61"/>
      <c r="D1650" s="61"/>
      <c r="E1650" s="61"/>
      <c r="F1650" s="61"/>
      <c r="G1650" s="61"/>
      <c r="H1650" s="63"/>
      <c r="I1650" s="61"/>
      <c r="J1650" s="61"/>
      <c r="K1650" s="61"/>
      <c r="L1650" s="61"/>
      <c r="M1650" s="61"/>
      <c r="N1650" s="61"/>
      <c r="O1650" s="61"/>
      <c r="P1650" s="61"/>
      <c r="Q1650" s="61"/>
      <c r="R1650" s="61"/>
      <c r="S1650" s="61"/>
      <c r="T1650" s="61"/>
      <c r="U1650" s="61"/>
      <c r="V1650" s="61"/>
      <c r="W1650" s="61"/>
      <c r="X1650" s="61"/>
      <c r="Y1650" s="61"/>
      <c r="Z1650" s="61"/>
    </row>
    <row r="1651" ht="15.75" customHeight="1">
      <c r="A1651" s="61"/>
      <c r="B1651" s="61"/>
      <c r="C1651" s="61"/>
      <c r="D1651" s="61"/>
      <c r="E1651" s="61"/>
      <c r="F1651" s="61"/>
      <c r="G1651" s="61"/>
      <c r="H1651" s="63"/>
      <c r="I1651" s="61"/>
      <c r="J1651" s="61"/>
      <c r="K1651" s="61"/>
      <c r="L1651" s="61"/>
      <c r="M1651" s="61"/>
      <c r="N1651" s="61"/>
      <c r="O1651" s="61"/>
      <c r="P1651" s="61"/>
      <c r="Q1651" s="61"/>
      <c r="R1651" s="61"/>
      <c r="S1651" s="61"/>
      <c r="T1651" s="61"/>
      <c r="U1651" s="61"/>
      <c r="V1651" s="61"/>
      <c r="W1651" s="61"/>
      <c r="X1651" s="61"/>
      <c r="Y1651" s="61"/>
      <c r="Z1651" s="61"/>
    </row>
    <row r="1652" ht="15.75" customHeight="1">
      <c r="A1652" s="61"/>
      <c r="B1652" s="61"/>
      <c r="C1652" s="61"/>
      <c r="D1652" s="61"/>
      <c r="E1652" s="61"/>
      <c r="F1652" s="61"/>
      <c r="G1652" s="61"/>
      <c r="H1652" s="63"/>
      <c r="I1652" s="61"/>
      <c r="J1652" s="61"/>
      <c r="K1652" s="61"/>
      <c r="L1652" s="61"/>
      <c r="M1652" s="61"/>
      <c r="N1652" s="61"/>
      <c r="O1652" s="61"/>
      <c r="P1652" s="61"/>
      <c r="Q1652" s="61"/>
      <c r="R1652" s="61"/>
      <c r="S1652" s="61"/>
      <c r="T1652" s="61"/>
      <c r="U1652" s="61"/>
      <c r="V1652" s="61"/>
      <c r="W1652" s="61"/>
      <c r="X1652" s="61"/>
      <c r="Y1652" s="61"/>
      <c r="Z1652" s="61"/>
    </row>
    <row r="1653" ht="15.75" customHeight="1">
      <c r="A1653" s="61"/>
      <c r="B1653" s="61"/>
      <c r="C1653" s="61"/>
      <c r="D1653" s="61"/>
      <c r="E1653" s="61"/>
      <c r="F1653" s="61"/>
      <c r="G1653" s="61"/>
      <c r="H1653" s="63"/>
      <c r="I1653" s="61"/>
      <c r="J1653" s="61"/>
      <c r="K1653" s="61"/>
      <c r="L1653" s="61"/>
      <c r="M1653" s="61"/>
      <c r="N1653" s="61"/>
      <c r="O1653" s="61"/>
      <c r="P1653" s="61"/>
      <c r="Q1653" s="61"/>
      <c r="R1653" s="61"/>
      <c r="S1653" s="61"/>
      <c r="T1653" s="61"/>
      <c r="U1653" s="61"/>
      <c r="V1653" s="61"/>
      <c r="W1653" s="61"/>
      <c r="X1653" s="61"/>
      <c r="Y1653" s="61"/>
      <c r="Z1653" s="61"/>
    </row>
    <row r="1654" ht="15.75" customHeight="1">
      <c r="A1654" s="61"/>
      <c r="B1654" s="61"/>
      <c r="C1654" s="61"/>
      <c r="D1654" s="61"/>
      <c r="E1654" s="61"/>
      <c r="F1654" s="61"/>
      <c r="G1654" s="61"/>
      <c r="H1654" s="63"/>
      <c r="I1654" s="61"/>
      <c r="J1654" s="61"/>
      <c r="K1654" s="61"/>
      <c r="L1654" s="61"/>
      <c r="M1654" s="61"/>
      <c r="N1654" s="61"/>
      <c r="O1654" s="61"/>
      <c r="P1654" s="61"/>
      <c r="Q1654" s="61"/>
      <c r="R1654" s="61"/>
      <c r="S1654" s="61"/>
      <c r="T1654" s="61"/>
      <c r="U1654" s="61"/>
      <c r="V1654" s="61"/>
      <c r="W1654" s="61"/>
      <c r="X1654" s="61"/>
      <c r="Y1654" s="61"/>
      <c r="Z1654" s="61"/>
    </row>
    <row r="1655" ht="15.75" customHeight="1">
      <c r="A1655" s="61"/>
      <c r="B1655" s="61"/>
      <c r="C1655" s="61"/>
      <c r="D1655" s="61"/>
      <c r="E1655" s="61"/>
      <c r="F1655" s="61"/>
      <c r="G1655" s="61"/>
      <c r="H1655" s="63"/>
      <c r="I1655" s="61"/>
      <c r="J1655" s="61"/>
      <c r="K1655" s="61"/>
      <c r="L1655" s="61"/>
      <c r="M1655" s="61"/>
      <c r="N1655" s="61"/>
      <c r="O1655" s="61"/>
      <c r="P1655" s="61"/>
      <c r="Q1655" s="61"/>
      <c r="R1655" s="61"/>
      <c r="S1655" s="61"/>
      <c r="T1655" s="61"/>
      <c r="U1655" s="61"/>
      <c r="V1655" s="61"/>
      <c r="W1655" s="61"/>
      <c r="X1655" s="61"/>
      <c r="Y1655" s="61"/>
      <c r="Z1655" s="61"/>
    </row>
    <row r="1656" ht="15.75" customHeight="1">
      <c r="A1656" s="61"/>
      <c r="B1656" s="61"/>
      <c r="C1656" s="61"/>
      <c r="D1656" s="61"/>
      <c r="E1656" s="61"/>
      <c r="F1656" s="61"/>
      <c r="G1656" s="61"/>
      <c r="H1656" s="63"/>
      <c r="I1656" s="61"/>
      <c r="J1656" s="61"/>
      <c r="K1656" s="61"/>
      <c r="L1656" s="61"/>
      <c r="M1656" s="61"/>
      <c r="N1656" s="61"/>
      <c r="O1656" s="61"/>
      <c r="P1656" s="61"/>
      <c r="Q1656" s="61"/>
      <c r="R1656" s="61"/>
      <c r="S1656" s="61"/>
      <c r="T1656" s="61"/>
      <c r="U1656" s="61"/>
      <c r="V1656" s="61"/>
      <c r="W1656" s="61"/>
      <c r="X1656" s="61"/>
      <c r="Y1656" s="61"/>
      <c r="Z1656" s="61"/>
    </row>
    <row r="1657" ht="15.75" customHeight="1">
      <c r="A1657" s="61"/>
      <c r="B1657" s="61"/>
      <c r="C1657" s="61"/>
      <c r="D1657" s="61"/>
      <c r="E1657" s="61"/>
      <c r="F1657" s="61"/>
      <c r="G1657" s="61"/>
      <c r="H1657" s="63"/>
      <c r="I1657" s="61"/>
      <c r="J1657" s="61"/>
      <c r="K1657" s="61"/>
      <c r="L1657" s="61"/>
      <c r="M1657" s="61"/>
      <c r="N1657" s="61"/>
      <c r="O1657" s="61"/>
      <c r="P1657" s="61"/>
      <c r="Q1657" s="61"/>
      <c r="R1657" s="61"/>
      <c r="S1657" s="61"/>
      <c r="T1657" s="61"/>
      <c r="U1657" s="61"/>
      <c r="V1657" s="61"/>
      <c r="W1657" s="61"/>
      <c r="X1657" s="61"/>
      <c r="Y1657" s="61"/>
      <c r="Z1657" s="61"/>
    </row>
    <row r="1658" ht="15.75" customHeight="1">
      <c r="A1658" s="61"/>
      <c r="B1658" s="61"/>
      <c r="C1658" s="61"/>
      <c r="D1658" s="61"/>
      <c r="E1658" s="61"/>
      <c r="F1658" s="61"/>
      <c r="G1658" s="61"/>
      <c r="H1658" s="63"/>
      <c r="I1658" s="61"/>
      <c r="J1658" s="61"/>
      <c r="K1658" s="61"/>
      <c r="L1658" s="61"/>
      <c r="M1658" s="61"/>
      <c r="N1658" s="61"/>
      <c r="O1658" s="61"/>
      <c r="P1658" s="61"/>
      <c r="Q1658" s="61"/>
      <c r="R1658" s="61"/>
      <c r="S1658" s="61"/>
      <c r="T1658" s="61"/>
      <c r="U1658" s="61"/>
      <c r="V1658" s="61"/>
      <c r="W1658" s="61"/>
      <c r="X1658" s="61"/>
      <c r="Y1658" s="61"/>
      <c r="Z1658" s="61"/>
    </row>
    <row r="1659" ht="15.75" customHeight="1">
      <c r="A1659" s="61"/>
      <c r="B1659" s="61"/>
      <c r="C1659" s="61"/>
      <c r="D1659" s="61"/>
      <c r="E1659" s="61"/>
      <c r="F1659" s="61"/>
      <c r="G1659" s="61"/>
      <c r="H1659" s="63"/>
      <c r="I1659" s="61"/>
      <c r="J1659" s="61"/>
      <c r="K1659" s="61"/>
      <c r="L1659" s="61"/>
      <c r="M1659" s="61"/>
      <c r="N1659" s="61"/>
      <c r="O1659" s="61"/>
      <c r="P1659" s="61"/>
      <c r="Q1659" s="61"/>
      <c r="R1659" s="61"/>
      <c r="S1659" s="61"/>
      <c r="T1659" s="61"/>
      <c r="U1659" s="61"/>
      <c r="V1659" s="61"/>
      <c r="W1659" s="61"/>
      <c r="X1659" s="61"/>
      <c r="Y1659" s="61"/>
      <c r="Z1659" s="61"/>
    </row>
    <row r="1660" ht="15.75" customHeight="1">
      <c r="A1660" s="61"/>
      <c r="B1660" s="61"/>
      <c r="C1660" s="61"/>
      <c r="D1660" s="61"/>
      <c r="E1660" s="61"/>
      <c r="F1660" s="61"/>
      <c r="G1660" s="61"/>
      <c r="H1660" s="63"/>
      <c r="I1660" s="61"/>
      <c r="J1660" s="61"/>
      <c r="K1660" s="61"/>
      <c r="L1660" s="61"/>
      <c r="M1660" s="61"/>
      <c r="N1660" s="61"/>
      <c r="O1660" s="61"/>
      <c r="P1660" s="61"/>
      <c r="Q1660" s="61"/>
      <c r="R1660" s="61"/>
      <c r="S1660" s="61"/>
      <c r="T1660" s="61"/>
      <c r="U1660" s="61"/>
      <c r="V1660" s="61"/>
      <c r="W1660" s="61"/>
      <c r="X1660" s="61"/>
      <c r="Y1660" s="61"/>
      <c r="Z1660" s="61"/>
    </row>
    <row r="1661" ht="15.75" customHeight="1">
      <c r="A1661" s="61"/>
      <c r="B1661" s="61"/>
      <c r="C1661" s="61"/>
      <c r="D1661" s="61"/>
      <c r="E1661" s="61"/>
      <c r="F1661" s="61"/>
      <c r="G1661" s="61"/>
      <c r="H1661" s="63"/>
      <c r="I1661" s="61"/>
      <c r="J1661" s="61"/>
      <c r="K1661" s="61"/>
      <c r="L1661" s="61"/>
      <c r="M1661" s="61"/>
      <c r="N1661" s="61"/>
      <c r="O1661" s="61"/>
      <c r="P1661" s="61"/>
      <c r="Q1661" s="61"/>
      <c r="R1661" s="61"/>
      <c r="S1661" s="61"/>
      <c r="T1661" s="61"/>
      <c r="U1661" s="61"/>
      <c r="V1661" s="61"/>
      <c r="W1661" s="61"/>
      <c r="X1661" s="61"/>
      <c r="Y1661" s="61"/>
      <c r="Z1661" s="61"/>
    </row>
    <row r="1662" ht="15.75" customHeight="1">
      <c r="A1662" s="61"/>
      <c r="B1662" s="61"/>
      <c r="C1662" s="61"/>
      <c r="D1662" s="61"/>
      <c r="E1662" s="61"/>
      <c r="F1662" s="61"/>
      <c r="G1662" s="61"/>
      <c r="H1662" s="63"/>
      <c r="I1662" s="61"/>
      <c r="J1662" s="61"/>
      <c r="K1662" s="61"/>
      <c r="L1662" s="61"/>
      <c r="M1662" s="61"/>
      <c r="N1662" s="61"/>
      <c r="O1662" s="61"/>
      <c r="P1662" s="61"/>
      <c r="Q1662" s="61"/>
      <c r="R1662" s="61"/>
      <c r="S1662" s="61"/>
      <c r="T1662" s="61"/>
      <c r="U1662" s="61"/>
      <c r="V1662" s="61"/>
      <c r="W1662" s="61"/>
      <c r="X1662" s="61"/>
      <c r="Y1662" s="61"/>
      <c r="Z1662" s="61"/>
    </row>
    <row r="1663" ht="15.75" customHeight="1">
      <c r="A1663" s="61"/>
      <c r="B1663" s="61"/>
      <c r="C1663" s="61"/>
      <c r="D1663" s="61"/>
      <c r="E1663" s="61"/>
      <c r="F1663" s="61"/>
      <c r="G1663" s="61"/>
      <c r="H1663" s="63"/>
      <c r="I1663" s="61"/>
      <c r="J1663" s="61"/>
      <c r="K1663" s="61"/>
      <c r="L1663" s="61"/>
      <c r="M1663" s="61"/>
      <c r="N1663" s="61"/>
      <c r="O1663" s="61"/>
      <c r="P1663" s="61"/>
      <c r="Q1663" s="61"/>
      <c r="R1663" s="61"/>
      <c r="S1663" s="61"/>
      <c r="T1663" s="61"/>
      <c r="U1663" s="61"/>
      <c r="V1663" s="61"/>
      <c r="W1663" s="61"/>
      <c r="X1663" s="61"/>
      <c r="Y1663" s="61"/>
      <c r="Z1663" s="61"/>
    </row>
    <row r="1664" ht="15.75" customHeight="1">
      <c r="A1664" s="61"/>
      <c r="B1664" s="61"/>
      <c r="C1664" s="61"/>
      <c r="D1664" s="61"/>
      <c r="E1664" s="61"/>
      <c r="F1664" s="61"/>
      <c r="G1664" s="61"/>
      <c r="H1664" s="63"/>
      <c r="I1664" s="61"/>
      <c r="J1664" s="61"/>
      <c r="K1664" s="61"/>
      <c r="L1664" s="61"/>
      <c r="M1664" s="61"/>
      <c r="N1664" s="61"/>
      <c r="O1664" s="61"/>
      <c r="P1664" s="61"/>
      <c r="Q1664" s="61"/>
      <c r="R1664" s="61"/>
      <c r="S1664" s="61"/>
      <c r="T1664" s="61"/>
      <c r="U1664" s="61"/>
      <c r="V1664" s="61"/>
      <c r="W1664" s="61"/>
      <c r="X1664" s="61"/>
      <c r="Y1664" s="61"/>
      <c r="Z1664" s="61"/>
    </row>
    <row r="1665" ht="15.75" customHeight="1">
      <c r="A1665" s="61"/>
      <c r="B1665" s="61"/>
      <c r="C1665" s="61"/>
      <c r="D1665" s="61"/>
      <c r="E1665" s="61"/>
      <c r="F1665" s="61"/>
      <c r="G1665" s="61"/>
      <c r="H1665" s="63"/>
      <c r="I1665" s="61"/>
      <c r="J1665" s="61"/>
      <c r="K1665" s="61"/>
      <c r="L1665" s="61"/>
      <c r="M1665" s="61"/>
      <c r="N1665" s="61"/>
      <c r="O1665" s="61"/>
      <c r="P1665" s="61"/>
      <c r="Q1665" s="61"/>
      <c r="R1665" s="61"/>
      <c r="S1665" s="61"/>
      <c r="T1665" s="61"/>
      <c r="U1665" s="61"/>
      <c r="V1665" s="61"/>
      <c r="W1665" s="61"/>
      <c r="X1665" s="61"/>
      <c r="Y1665" s="61"/>
      <c r="Z1665" s="61"/>
    </row>
    <row r="1666" ht="15.75" customHeight="1">
      <c r="A1666" s="61"/>
      <c r="B1666" s="61"/>
      <c r="C1666" s="61"/>
      <c r="D1666" s="61"/>
      <c r="E1666" s="61"/>
      <c r="F1666" s="61"/>
      <c r="G1666" s="61"/>
      <c r="H1666" s="63"/>
      <c r="I1666" s="61"/>
      <c r="J1666" s="61"/>
      <c r="K1666" s="61"/>
      <c r="L1666" s="61"/>
      <c r="M1666" s="61"/>
      <c r="N1666" s="61"/>
      <c r="O1666" s="61"/>
      <c r="P1666" s="61"/>
      <c r="Q1666" s="61"/>
      <c r="R1666" s="61"/>
      <c r="S1666" s="61"/>
      <c r="T1666" s="61"/>
      <c r="U1666" s="61"/>
      <c r="V1666" s="61"/>
      <c r="W1666" s="61"/>
      <c r="X1666" s="61"/>
      <c r="Y1666" s="61"/>
      <c r="Z1666" s="61"/>
    </row>
    <row r="1667" ht="15.75" customHeight="1">
      <c r="A1667" s="61"/>
      <c r="B1667" s="61"/>
      <c r="C1667" s="61"/>
      <c r="D1667" s="61"/>
      <c r="E1667" s="61"/>
      <c r="F1667" s="61"/>
      <c r="G1667" s="61"/>
      <c r="H1667" s="63"/>
      <c r="I1667" s="61"/>
      <c r="J1667" s="61"/>
      <c r="K1667" s="61"/>
      <c r="L1667" s="61"/>
      <c r="M1667" s="61"/>
      <c r="N1667" s="61"/>
      <c r="O1667" s="61"/>
      <c r="P1667" s="61"/>
      <c r="Q1667" s="61"/>
      <c r="R1667" s="61"/>
      <c r="S1667" s="61"/>
      <c r="T1667" s="61"/>
      <c r="U1667" s="61"/>
      <c r="V1667" s="61"/>
      <c r="W1667" s="61"/>
      <c r="X1667" s="61"/>
      <c r="Y1667" s="61"/>
      <c r="Z1667" s="61"/>
    </row>
    <row r="1668" ht="15.75" customHeight="1">
      <c r="A1668" s="61"/>
      <c r="B1668" s="61"/>
      <c r="C1668" s="61"/>
      <c r="D1668" s="61"/>
      <c r="E1668" s="61"/>
      <c r="F1668" s="61"/>
      <c r="G1668" s="61"/>
      <c r="H1668" s="63"/>
      <c r="I1668" s="61"/>
      <c r="J1668" s="61"/>
      <c r="K1668" s="61"/>
      <c r="L1668" s="61"/>
      <c r="M1668" s="61"/>
      <c r="N1668" s="61"/>
      <c r="O1668" s="61"/>
      <c r="P1668" s="61"/>
      <c r="Q1668" s="61"/>
      <c r="R1668" s="61"/>
      <c r="S1668" s="61"/>
      <c r="T1668" s="61"/>
      <c r="U1668" s="61"/>
      <c r="V1668" s="61"/>
      <c r="W1668" s="61"/>
      <c r="X1668" s="61"/>
      <c r="Y1668" s="61"/>
      <c r="Z1668" s="61"/>
    </row>
    <row r="1669" ht="15.75" customHeight="1">
      <c r="A1669" s="61"/>
      <c r="B1669" s="61"/>
      <c r="C1669" s="61"/>
      <c r="D1669" s="61"/>
      <c r="E1669" s="61"/>
      <c r="F1669" s="61"/>
      <c r="G1669" s="61"/>
      <c r="H1669" s="63"/>
      <c r="I1669" s="61"/>
      <c r="J1669" s="61"/>
      <c r="K1669" s="61"/>
      <c r="L1669" s="61"/>
      <c r="M1669" s="61"/>
      <c r="N1669" s="61"/>
      <c r="O1669" s="61"/>
      <c r="P1669" s="61"/>
      <c r="Q1669" s="61"/>
      <c r="R1669" s="61"/>
      <c r="S1669" s="61"/>
      <c r="T1669" s="61"/>
      <c r="U1669" s="61"/>
      <c r="V1669" s="61"/>
      <c r="W1669" s="61"/>
      <c r="X1669" s="61"/>
      <c r="Y1669" s="61"/>
      <c r="Z1669" s="61"/>
    </row>
    <row r="1670" ht="15.75" customHeight="1">
      <c r="A1670" s="61"/>
      <c r="B1670" s="61"/>
      <c r="C1670" s="61"/>
      <c r="D1670" s="61"/>
      <c r="E1670" s="61"/>
      <c r="F1670" s="61"/>
      <c r="G1670" s="61"/>
      <c r="H1670" s="63"/>
      <c r="I1670" s="61"/>
      <c r="J1670" s="61"/>
      <c r="K1670" s="61"/>
      <c r="L1670" s="61"/>
      <c r="M1670" s="61"/>
      <c r="N1670" s="61"/>
      <c r="O1670" s="61"/>
      <c r="P1670" s="61"/>
      <c r="Q1670" s="61"/>
      <c r="R1670" s="61"/>
      <c r="S1670" s="61"/>
      <c r="T1670" s="61"/>
      <c r="U1670" s="61"/>
      <c r="V1670" s="61"/>
      <c r="W1670" s="61"/>
      <c r="X1670" s="61"/>
      <c r="Y1670" s="61"/>
      <c r="Z1670" s="61"/>
    </row>
    <row r="1671" ht="15.75" customHeight="1">
      <c r="A1671" s="61"/>
      <c r="B1671" s="61"/>
      <c r="C1671" s="61"/>
      <c r="D1671" s="61"/>
      <c r="E1671" s="61"/>
      <c r="F1671" s="61"/>
      <c r="G1671" s="61"/>
      <c r="H1671" s="63"/>
      <c r="I1671" s="61"/>
      <c r="J1671" s="61"/>
      <c r="K1671" s="61"/>
      <c r="L1671" s="61"/>
      <c r="M1671" s="61"/>
      <c r="N1671" s="61"/>
      <c r="O1671" s="61"/>
      <c r="P1671" s="61"/>
      <c r="Q1671" s="61"/>
      <c r="R1671" s="61"/>
      <c r="S1671" s="61"/>
      <c r="T1671" s="61"/>
      <c r="U1671" s="61"/>
      <c r="V1671" s="61"/>
      <c r="W1671" s="61"/>
      <c r="X1671" s="61"/>
      <c r="Y1671" s="61"/>
      <c r="Z1671" s="61"/>
    </row>
    <row r="1672" ht="15.75" customHeight="1">
      <c r="A1672" s="61"/>
      <c r="B1672" s="61"/>
      <c r="C1672" s="61"/>
      <c r="D1672" s="61"/>
      <c r="E1672" s="61"/>
      <c r="F1672" s="61"/>
      <c r="G1672" s="61"/>
      <c r="H1672" s="63"/>
      <c r="I1672" s="61"/>
      <c r="J1672" s="61"/>
      <c r="K1672" s="61"/>
      <c r="L1672" s="61"/>
      <c r="M1672" s="61"/>
      <c r="N1672" s="61"/>
      <c r="O1672" s="61"/>
      <c r="P1672" s="61"/>
      <c r="Q1672" s="61"/>
      <c r="R1672" s="61"/>
      <c r="S1672" s="61"/>
      <c r="T1672" s="61"/>
      <c r="U1672" s="61"/>
      <c r="V1672" s="61"/>
      <c r="W1672" s="61"/>
      <c r="X1672" s="61"/>
      <c r="Y1672" s="61"/>
      <c r="Z1672" s="61"/>
    </row>
    <row r="1673" ht="15.75" customHeight="1">
      <c r="A1673" s="61"/>
      <c r="B1673" s="61"/>
      <c r="C1673" s="61"/>
      <c r="D1673" s="61"/>
      <c r="E1673" s="61"/>
      <c r="F1673" s="61"/>
      <c r="G1673" s="61"/>
      <c r="H1673" s="63"/>
      <c r="I1673" s="61"/>
      <c r="J1673" s="61"/>
      <c r="K1673" s="61"/>
      <c r="L1673" s="61"/>
      <c r="M1673" s="61"/>
      <c r="N1673" s="61"/>
      <c r="O1673" s="61"/>
      <c r="P1673" s="61"/>
      <c r="Q1673" s="61"/>
      <c r="R1673" s="61"/>
      <c r="S1673" s="61"/>
      <c r="T1673" s="61"/>
      <c r="U1673" s="61"/>
      <c r="V1673" s="61"/>
      <c r="W1673" s="61"/>
      <c r="X1673" s="61"/>
      <c r="Y1673" s="61"/>
      <c r="Z1673" s="61"/>
    </row>
    <row r="1674" ht="15.75" customHeight="1">
      <c r="A1674" s="61"/>
      <c r="B1674" s="61"/>
      <c r="C1674" s="61"/>
      <c r="D1674" s="61"/>
      <c r="E1674" s="61"/>
      <c r="F1674" s="61"/>
      <c r="G1674" s="61"/>
      <c r="H1674" s="63"/>
      <c r="I1674" s="61"/>
      <c r="J1674" s="61"/>
      <c r="K1674" s="61"/>
      <c r="L1674" s="61"/>
      <c r="M1674" s="61"/>
      <c r="N1674" s="61"/>
      <c r="O1674" s="61"/>
      <c r="P1674" s="61"/>
      <c r="Q1674" s="61"/>
      <c r="R1674" s="61"/>
      <c r="S1674" s="61"/>
      <c r="T1674" s="61"/>
      <c r="U1674" s="61"/>
      <c r="V1674" s="61"/>
      <c r="W1674" s="61"/>
      <c r="X1674" s="61"/>
      <c r="Y1674" s="61"/>
      <c r="Z1674" s="61"/>
    </row>
    <row r="1675" ht="15.75" customHeight="1">
      <c r="A1675" s="61"/>
      <c r="B1675" s="61"/>
      <c r="C1675" s="61"/>
      <c r="D1675" s="61"/>
      <c r="E1675" s="61"/>
      <c r="F1675" s="61"/>
      <c r="G1675" s="61"/>
      <c r="H1675" s="63"/>
      <c r="I1675" s="61"/>
      <c r="J1675" s="61"/>
      <c r="K1675" s="61"/>
      <c r="L1675" s="61"/>
      <c r="M1675" s="61"/>
      <c r="N1675" s="61"/>
      <c r="O1675" s="61"/>
      <c r="P1675" s="61"/>
      <c r="Q1675" s="61"/>
      <c r="R1675" s="61"/>
      <c r="S1675" s="61"/>
      <c r="T1675" s="61"/>
      <c r="U1675" s="61"/>
      <c r="V1675" s="61"/>
      <c r="W1675" s="61"/>
      <c r="X1675" s="61"/>
      <c r="Y1675" s="61"/>
      <c r="Z1675" s="61"/>
    </row>
    <row r="1676" ht="15.75" customHeight="1">
      <c r="A1676" s="61"/>
      <c r="B1676" s="61"/>
      <c r="C1676" s="61"/>
      <c r="D1676" s="61"/>
      <c r="E1676" s="61"/>
      <c r="F1676" s="61"/>
      <c r="G1676" s="61"/>
      <c r="H1676" s="63"/>
      <c r="I1676" s="61"/>
      <c r="J1676" s="61"/>
      <c r="K1676" s="61"/>
      <c r="L1676" s="61"/>
      <c r="M1676" s="61"/>
      <c r="N1676" s="61"/>
      <c r="O1676" s="61"/>
      <c r="P1676" s="61"/>
      <c r="Q1676" s="61"/>
      <c r="R1676" s="61"/>
      <c r="S1676" s="61"/>
      <c r="T1676" s="61"/>
      <c r="U1676" s="61"/>
      <c r="V1676" s="61"/>
      <c r="W1676" s="61"/>
      <c r="X1676" s="61"/>
      <c r="Y1676" s="61"/>
      <c r="Z1676" s="61"/>
    </row>
    <row r="1677" ht="15.75" customHeight="1">
      <c r="A1677" s="61"/>
      <c r="B1677" s="61"/>
      <c r="C1677" s="61"/>
      <c r="D1677" s="61"/>
      <c r="E1677" s="61"/>
      <c r="F1677" s="61"/>
      <c r="G1677" s="61"/>
      <c r="H1677" s="63"/>
      <c r="I1677" s="61"/>
      <c r="J1677" s="61"/>
      <c r="K1677" s="61"/>
      <c r="L1677" s="61"/>
      <c r="M1677" s="61"/>
      <c r="N1677" s="61"/>
      <c r="O1677" s="61"/>
      <c r="P1677" s="61"/>
      <c r="Q1677" s="61"/>
      <c r="R1677" s="61"/>
      <c r="S1677" s="61"/>
      <c r="T1677" s="61"/>
      <c r="U1677" s="61"/>
      <c r="V1677" s="61"/>
      <c r="W1677" s="61"/>
      <c r="X1677" s="61"/>
      <c r="Y1677" s="61"/>
      <c r="Z1677" s="61"/>
    </row>
    <row r="1678" ht="15.75" customHeight="1">
      <c r="A1678" s="61"/>
      <c r="B1678" s="61"/>
      <c r="C1678" s="61"/>
      <c r="D1678" s="61"/>
      <c r="E1678" s="61"/>
      <c r="F1678" s="61"/>
      <c r="G1678" s="61"/>
      <c r="H1678" s="63"/>
      <c r="I1678" s="61"/>
      <c r="J1678" s="61"/>
      <c r="K1678" s="61"/>
      <c r="L1678" s="61"/>
      <c r="M1678" s="61"/>
      <c r="N1678" s="61"/>
      <c r="O1678" s="61"/>
      <c r="P1678" s="61"/>
      <c r="Q1678" s="61"/>
      <c r="R1678" s="61"/>
      <c r="S1678" s="61"/>
      <c r="T1678" s="61"/>
      <c r="U1678" s="61"/>
      <c r="V1678" s="61"/>
      <c r="W1678" s="61"/>
      <c r="X1678" s="61"/>
      <c r="Y1678" s="61"/>
      <c r="Z1678" s="61"/>
    </row>
    <row r="1679" ht="15.75" customHeight="1">
      <c r="A1679" s="61"/>
      <c r="B1679" s="61"/>
      <c r="C1679" s="61"/>
      <c r="D1679" s="61"/>
      <c r="E1679" s="61"/>
      <c r="F1679" s="61"/>
      <c r="G1679" s="61"/>
      <c r="H1679" s="63"/>
      <c r="I1679" s="61"/>
      <c r="J1679" s="61"/>
      <c r="K1679" s="61"/>
      <c r="L1679" s="61"/>
      <c r="M1679" s="61"/>
      <c r="N1679" s="61"/>
      <c r="O1679" s="61"/>
      <c r="P1679" s="61"/>
      <c r="Q1679" s="61"/>
      <c r="R1679" s="61"/>
      <c r="S1679" s="61"/>
      <c r="T1679" s="61"/>
      <c r="U1679" s="61"/>
      <c r="V1679" s="61"/>
      <c r="W1679" s="61"/>
      <c r="X1679" s="61"/>
      <c r="Y1679" s="61"/>
      <c r="Z1679" s="61"/>
    </row>
    <row r="1680" ht="15.75" customHeight="1">
      <c r="A1680" s="61"/>
      <c r="B1680" s="61"/>
      <c r="C1680" s="61"/>
      <c r="D1680" s="61"/>
      <c r="E1680" s="61"/>
      <c r="F1680" s="61"/>
      <c r="G1680" s="61"/>
      <c r="H1680" s="63"/>
      <c r="I1680" s="61"/>
      <c r="J1680" s="61"/>
      <c r="K1680" s="61"/>
      <c r="L1680" s="61"/>
      <c r="M1680" s="61"/>
      <c r="N1680" s="61"/>
      <c r="O1680" s="61"/>
      <c r="P1680" s="61"/>
      <c r="Q1680" s="61"/>
      <c r="R1680" s="61"/>
      <c r="S1680" s="61"/>
      <c r="T1680" s="61"/>
      <c r="U1680" s="61"/>
      <c r="V1680" s="61"/>
      <c r="W1680" s="61"/>
      <c r="X1680" s="61"/>
      <c r="Y1680" s="61"/>
      <c r="Z1680" s="61"/>
    </row>
    <row r="1681" ht="15.75" customHeight="1">
      <c r="A1681" s="61"/>
      <c r="B1681" s="61"/>
      <c r="C1681" s="61"/>
      <c r="D1681" s="61"/>
      <c r="E1681" s="61"/>
      <c r="F1681" s="61"/>
      <c r="G1681" s="61"/>
      <c r="H1681" s="63"/>
      <c r="I1681" s="61"/>
      <c r="J1681" s="61"/>
      <c r="K1681" s="61"/>
      <c r="L1681" s="61"/>
      <c r="M1681" s="61"/>
      <c r="N1681" s="61"/>
      <c r="O1681" s="61"/>
      <c r="P1681" s="61"/>
      <c r="Q1681" s="61"/>
      <c r="R1681" s="61"/>
      <c r="S1681" s="61"/>
      <c r="T1681" s="61"/>
      <c r="U1681" s="61"/>
      <c r="V1681" s="61"/>
      <c r="W1681" s="61"/>
      <c r="X1681" s="61"/>
      <c r="Y1681" s="61"/>
      <c r="Z1681" s="61"/>
    </row>
    <row r="1682" ht="15.75" customHeight="1">
      <c r="A1682" s="61"/>
      <c r="B1682" s="61"/>
      <c r="C1682" s="61"/>
      <c r="D1682" s="61"/>
      <c r="E1682" s="61"/>
      <c r="F1682" s="61"/>
      <c r="G1682" s="61"/>
      <c r="H1682" s="63"/>
      <c r="I1682" s="61"/>
      <c r="J1682" s="61"/>
      <c r="K1682" s="61"/>
      <c r="L1682" s="61"/>
      <c r="M1682" s="61"/>
      <c r="N1682" s="61"/>
      <c r="O1682" s="61"/>
      <c r="P1682" s="61"/>
      <c r="Q1682" s="61"/>
      <c r="R1682" s="61"/>
      <c r="S1682" s="61"/>
      <c r="T1682" s="61"/>
      <c r="U1682" s="61"/>
      <c r="V1682" s="61"/>
      <c r="W1682" s="61"/>
      <c r="X1682" s="61"/>
      <c r="Y1682" s="61"/>
      <c r="Z1682" s="61"/>
    </row>
    <row r="1683" ht="15.75" customHeight="1">
      <c r="A1683" s="61"/>
      <c r="B1683" s="61"/>
      <c r="C1683" s="61"/>
      <c r="D1683" s="61"/>
      <c r="E1683" s="61"/>
      <c r="F1683" s="61"/>
      <c r="G1683" s="61"/>
      <c r="H1683" s="63"/>
      <c r="I1683" s="61"/>
      <c r="J1683" s="61"/>
      <c r="K1683" s="61"/>
      <c r="L1683" s="61"/>
      <c r="M1683" s="61"/>
      <c r="N1683" s="61"/>
      <c r="O1683" s="61"/>
      <c r="P1683" s="61"/>
      <c r="Q1683" s="61"/>
      <c r="R1683" s="61"/>
      <c r="S1683" s="61"/>
      <c r="T1683" s="61"/>
      <c r="U1683" s="61"/>
      <c r="V1683" s="61"/>
      <c r="W1683" s="61"/>
      <c r="X1683" s="61"/>
      <c r="Y1683" s="61"/>
      <c r="Z1683" s="61"/>
    </row>
    <row r="1684" ht="15.75" customHeight="1">
      <c r="A1684" s="61"/>
      <c r="B1684" s="61"/>
      <c r="C1684" s="61"/>
      <c r="D1684" s="61"/>
      <c r="E1684" s="61"/>
      <c r="F1684" s="61"/>
      <c r="G1684" s="61"/>
      <c r="H1684" s="63"/>
      <c r="I1684" s="61"/>
      <c r="J1684" s="61"/>
      <c r="K1684" s="61"/>
      <c r="L1684" s="61"/>
      <c r="M1684" s="61"/>
      <c r="N1684" s="61"/>
      <c r="O1684" s="61"/>
      <c r="P1684" s="61"/>
      <c r="Q1684" s="61"/>
      <c r="R1684" s="61"/>
      <c r="S1684" s="61"/>
      <c r="T1684" s="61"/>
      <c r="U1684" s="61"/>
      <c r="V1684" s="61"/>
      <c r="W1684" s="61"/>
      <c r="X1684" s="61"/>
      <c r="Y1684" s="61"/>
      <c r="Z1684" s="61"/>
    </row>
    <row r="1685" ht="15.75" customHeight="1">
      <c r="A1685" s="61"/>
      <c r="B1685" s="61"/>
      <c r="C1685" s="61"/>
      <c r="D1685" s="61"/>
      <c r="E1685" s="61"/>
      <c r="F1685" s="61"/>
      <c r="G1685" s="61"/>
      <c r="H1685" s="63"/>
      <c r="I1685" s="61"/>
      <c r="J1685" s="61"/>
      <c r="K1685" s="61"/>
      <c r="L1685" s="61"/>
      <c r="M1685" s="61"/>
      <c r="N1685" s="61"/>
      <c r="O1685" s="61"/>
      <c r="P1685" s="61"/>
      <c r="Q1685" s="61"/>
      <c r="R1685" s="61"/>
      <c r="S1685" s="61"/>
      <c r="T1685" s="61"/>
      <c r="U1685" s="61"/>
      <c r="V1685" s="61"/>
      <c r="W1685" s="61"/>
      <c r="X1685" s="61"/>
      <c r="Y1685" s="61"/>
      <c r="Z1685" s="61"/>
    </row>
    <row r="1686" ht="15.75" customHeight="1">
      <c r="A1686" s="61"/>
      <c r="B1686" s="61"/>
      <c r="C1686" s="61"/>
      <c r="D1686" s="61"/>
      <c r="E1686" s="61"/>
      <c r="F1686" s="61"/>
      <c r="G1686" s="61"/>
      <c r="H1686" s="63"/>
      <c r="I1686" s="61"/>
      <c r="J1686" s="61"/>
      <c r="K1686" s="61"/>
      <c r="L1686" s="61"/>
      <c r="M1686" s="61"/>
      <c r="N1686" s="61"/>
      <c r="O1686" s="61"/>
      <c r="P1686" s="61"/>
      <c r="Q1686" s="61"/>
      <c r="R1686" s="61"/>
      <c r="S1686" s="61"/>
      <c r="T1686" s="61"/>
      <c r="U1686" s="61"/>
      <c r="V1686" s="61"/>
      <c r="W1686" s="61"/>
      <c r="X1686" s="61"/>
      <c r="Y1686" s="61"/>
      <c r="Z1686" s="61"/>
    </row>
    <row r="1687" ht="15.75" customHeight="1">
      <c r="A1687" s="61"/>
      <c r="B1687" s="61"/>
      <c r="C1687" s="61"/>
      <c r="D1687" s="61"/>
      <c r="E1687" s="61"/>
      <c r="F1687" s="61"/>
      <c r="G1687" s="61"/>
      <c r="H1687" s="63"/>
      <c r="I1687" s="61"/>
      <c r="J1687" s="61"/>
      <c r="K1687" s="61"/>
      <c r="L1687" s="61"/>
      <c r="M1687" s="61"/>
      <c r="N1687" s="61"/>
      <c r="O1687" s="61"/>
      <c r="P1687" s="61"/>
      <c r="Q1687" s="61"/>
      <c r="R1687" s="61"/>
      <c r="S1687" s="61"/>
      <c r="T1687" s="61"/>
      <c r="U1687" s="61"/>
      <c r="V1687" s="61"/>
      <c r="W1687" s="61"/>
      <c r="X1687" s="61"/>
      <c r="Y1687" s="61"/>
      <c r="Z1687" s="61"/>
    </row>
    <row r="1688" ht="15.75" customHeight="1">
      <c r="A1688" s="61"/>
      <c r="B1688" s="61"/>
      <c r="C1688" s="61"/>
      <c r="D1688" s="61"/>
      <c r="E1688" s="61"/>
      <c r="F1688" s="61"/>
      <c r="G1688" s="61"/>
      <c r="H1688" s="63"/>
      <c r="I1688" s="61"/>
      <c r="J1688" s="61"/>
      <c r="K1688" s="61"/>
      <c r="L1688" s="61"/>
      <c r="M1688" s="61"/>
      <c r="N1688" s="61"/>
      <c r="O1688" s="61"/>
      <c r="P1688" s="61"/>
      <c r="Q1688" s="61"/>
      <c r="R1688" s="61"/>
      <c r="S1688" s="61"/>
      <c r="T1688" s="61"/>
      <c r="U1688" s="61"/>
      <c r="V1688" s="61"/>
      <c r="W1688" s="61"/>
      <c r="X1688" s="61"/>
      <c r="Y1688" s="61"/>
      <c r="Z1688" s="61"/>
    </row>
    <row r="1689" ht="15.75" customHeight="1">
      <c r="A1689" s="61"/>
      <c r="B1689" s="61"/>
      <c r="C1689" s="61"/>
      <c r="D1689" s="61"/>
      <c r="E1689" s="61"/>
      <c r="F1689" s="61"/>
      <c r="G1689" s="61"/>
      <c r="H1689" s="63"/>
      <c r="I1689" s="61"/>
      <c r="J1689" s="61"/>
      <c r="K1689" s="61"/>
      <c r="L1689" s="61"/>
      <c r="M1689" s="61"/>
      <c r="N1689" s="61"/>
      <c r="O1689" s="61"/>
      <c r="P1689" s="61"/>
      <c r="Q1689" s="61"/>
      <c r="R1689" s="61"/>
      <c r="S1689" s="61"/>
      <c r="T1689" s="61"/>
      <c r="U1689" s="61"/>
      <c r="V1689" s="61"/>
      <c r="W1689" s="61"/>
      <c r="X1689" s="61"/>
      <c r="Y1689" s="61"/>
      <c r="Z1689" s="61"/>
    </row>
    <row r="1690" ht="15.75" customHeight="1">
      <c r="A1690" s="61"/>
      <c r="B1690" s="61"/>
      <c r="C1690" s="61"/>
      <c r="D1690" s="61"/>
      <c r="E1690" s="61"/>
      <c r="F1690" s="61"/>
      <c r="G1690" s="61"/>
      <c r="H1690" s="63"/>
      <c r="I1690" s="61"/>
      <c r="J1690" s="61"/>
      <c r="K1690" s="61"/>
      <c r="L1690" s="61"/>
      <c r="M1690" s="61"/>
      <c r="N1690" s="61"/>
      <c r="O1690" s="61"/>
      <c r="P1690" s="61"/>
      <c r="Q1690" s="61"/>
      <c r="R1690" s="61"/>
      <c r="S1690" s="61"/>
      <c r="T1690" s="61"/>
      <c r="U1690" s="61"/>
      <c r="V1690" s="61"/>
      <c r="W1690" s="61"/>
      <c r="X1690" s="61"/>
      <c r="Y1690" s="61"/>
      <c r="Z1690" s="61"/>
    </row>
    <row r="1691" ht="15.75" customHeight="1">
      <c r="A1691" s="61"/>
      <c r="B1691" s="61"/>
      <c r="C1691" s="61"/>
      <c r="D1691" s="61"/>
      <c r="E1691" s="61"/>
      <c r="F1691" s="61"/>
      <c r="G1691" s="61"/>
      <c r="H1691" s="63"/>
      <c r="I1691" s="61"/>
      <c r="J1691" s="61"/>
      <c r="K1691" s="61"/>
      <c r="L1691" s="61"/>
      <c r="M1691" s="61"/>
      <c r="N1691" s="61"/>
      <c r="O1691" s="61"/>
      <c r="P1691" s="61"/>
      <c r="Q1691" s="61"/>
      <c r="R1691" s="61"/>
      <c r="S1691" s="61"/>
      <c r="T1691" s="61"/>
      <c r="U1691" s="61"/>
      <c r="V1691" s="61"/>
      <c r="W1691" s="61"/>
      <c r="X1691" s="61"/>
      <c r="Y1691" s="61"/>
      <c r="Z1691" s="61"/>
    </row>
    <row r="1692" ht="15.75" customHeight="1">
      <c r="A1692" s="61"/>
      <c r="B1692" s="61"/>
      <c r="C1692" s="61"/>
      <c r="D1692" s="61"/>
      <c r="E1692" s="61"/>
      <c r="F1692" s="61"/>
      <c r="G1692" s="61"/>
      <c r="H1692" s="63"/>
      <c r="I1692" s="61"/>
      <c r="J1692" s="61"/>
      <c r="K1692" s="61"/>
      <c r="L1692" s="61"/>
      <c r="M1692" s="61"/>
      <c r="N1692" s="61"/>
      <c r="O1692" s="61"/>
      <c r="P1692" s="61"/>
      <c r="Q1692" s="61"/>
      <c r="R1692" s="61"/>
      <c r="S1692" s="61"/>
      <c r="T1692" s="61"/>
      <c r="U1692" s="61"/>
      <c r="V1692" s="61"/>
      <c r="W1692" s="61"/>
      <c r="X1692" s="61"/>
      <c r="Y1692" s="61"/>
      <c r="Z1692" s="61"/>
    </row>
    <row r="1693" ht="15.75" customHeight="1">
      <c r="A1693" s="61"/>
      <c r="B1693" s="61"/>
      <c r="C1693" s="61"/>
      <c r="D1693" s="61"/>
      <c r="E1693" s="61"/>
      <c r="F1693" s="61"/>
      <c r="G1693" s="61"/>
      <c r="H1693" s="63"/>
      <c r="I1693" s="61"/>
      <c r="J1693" s="61"/>
      <c r="K1693" s="61"/>
      <c r="L1693" s="61"/>
      <c r="M1693" s="61"/>
      <c r="N1693" s="61"/>
      <c r="O1693" s="61"/>
      <c r="P1693" s="61"/>
      <c r="Q1693" s="61"/>
      <c r="R1693" s="61"/>
      <c r="S1693" s="61"/>
      <c r="T1693" s="61"/>
      <c r="U1693" s="61"/>
      <c r="V1693" s="61"/>
      <c r="W1693" s="61"/>
      <c r="X1693" s="61"/>
      <c r="Y1693" s="61"/>
      <c r="Z1693" s="61"/>
    </row>
    <row r="1694" ht="15.75" customHeight="1">
      <c r="A1694" s="61"/>
      <c r="B1694" s="61"/>
      <c r="C1694" s="61"/>
      <c r="D1694" s="61"/>
      <c r="E1694" s="61"/>
      <c r="F1694" s="61"/>
      <c r="G1694" s="61"/>
      <c r="H1694" s="63"/>
      <c r="I1694" s="61"/>
      <c r="J1694" s="61"/>
      <c r="K1694" s="61"/>
      <c r="L1694" s="61"/>
      <c r="M1694" s="61"/>
      <c r="N1694" s="61"/>
      <c r="O1694" s="61"/>
      <c r="P1694" s="61"/>
      <c r="Q1694" s="61"/>
      <c r="R1694" s="61"/>
      <c r="S1694" s="61"/>
      <c r="T1694" s="61"/>
      <c r="U1694" s="61"/>
      <c r="V1694" s="61"/>
      <c r="W1694" s="61"/>
      <c r="X1694" s="61"/>
      <c r="Y1694" s="61"/>
      <c r="Z1694" s="61"/>
    </row>
    <row r="1695" ht="15.75" customHeight="1">
      <c r="A1695" s="61"/>
      <c r="B1695" s="61"/>
      <c r="C1695" s="61"/>
      <c r="D1695" s="61"/>
      <c r="E1695" s="61"/>
      <c r="F1695" s="61"/>
      <c r="G1695" s="61"/>
      <c r="H1695" s="63"/>
      <c r="I1695" s="61"/>
      <c r="J1695" s="61"/>
      <c r="K1695" s="61"/>
      <c r="L1695" s="61"/>
      <c r="M1695" s="61"/>
      <c r="N1695" s="61"/>
      <c r="O1695" s="61"/>
      <c r="P1695" s="61"/>
      <c r="Q1695" s="61"/>
      <c r="R1695" s="61"/>
      <c r="S1695" s="61"/>
      <c r="T1695" s="61"/>
      <c r="U1695" s="61"/>
      <c r="V1695" s="61"/>
      <c r="W1695" s="61"/>
      <c r="X1695" s="61"/>
      <c r="Y1695" s="61"/>
      <c r="Z1695" s="61"/>
    </row>
    <row r="1696" ht="15.75" customHeight="1">
      <c r="A1696" s="61"/>
      <c r="B1696" s="61"/>
      <c r="C1696" s="61"/>
      <c r="D1696" s="61"/>
      <c r="E1696" s="61"/>
      <c r="F1696" s="61"/>
      <c r="G1696" s="61"/>
      <c r="H1696" s="63"/>
      <c r="I1696" s="61"/>
      <c r="J1696" s="61"/>
      <c r="K1696" s="61"/>
      <c r="L1696" s="61"/>
      <c r="M1696" s="61"/>
      <c r="N1696" s="61"/>
      <c r="O1696" s="61"/>
      <c r="P1696" s="61"/>
      <c r="Q1696" s="61"/>
      <c r="R1696" s="61"/>
      <c r="S1696" s="61"/>
      <c r="T1696" s="61"/>
      <c r="U1696" s="61"/>
      <c r="V1696" s="61"/>
      <c r="W1696" s="61"/>
      <c r="X1696" s="61"/>
      <c r="Y1696" s="61"/>
      <c r="Z1696" s="61"/>
    </row>
    <row r="1697" ht="15.75" customHeight="1">
      <c r="A1697" s="61"/>
      <c r="B1697" s="61"/>
      <c r="C1697" s="61"/>
      <c r="D1697" s="61"/>
      <c r="E1697" s="61"/>
      <c r="F1697" s="61"/>
      <c r="G1697" s="61"/>
      <c r="H1697" s="63"/>
      <c r="I1697" s="61"/>
      <c r="J1697" s="61"/>
      <c r="K1697" s="61"/>
      <c r="L1697" s="61"/>
      <c r="M1697" s="61"/>
      <c r="N1697" s="61"/>
      <c r="O1697" s="61"/>
      <c r="P1697" s="61"/>
      <c r="Q1697" s="61"/>
      <c r="R1697" s="61"/>
      <c r="S1697" s="61"/>
      <c r="T1697" s="61"/>
      <c r="U1697" s="61"/>
      <c r="V1697" s="61"/>
      <c r="W1697" s="61"/>
      <c r="X1697" s="61"/>
      <c r="Y1697" s="61"/>
      <c r="Z1697" s="61"/>
    </row>
    <row r="1698" ht="15.75" customHeight="1">
      <c r="A1698" s="61"/>
      <c r="B1698" s="61"/>
      <c r="C1698" s="61"/>
      <c r="D1698" s="61"/>
      <c r="E1698" s="61"/>
      <c r="F1698" s="61"/>
      <c r="G1698" s="61"/>
      <c r="H1698" s="63"/>
      <c r="I1698" s="61"/>
      <c r="J1698" s="61"/>
      <c r="K1698" s="61"/>
      <c r="L1698" s="61"/>
      <c r="M1698" s="61"/>
      <c r="N1698" s="61"/>
      <c r="O1698" s="61"/>
      <c r="P1698" s="61"/>
      <c r="Q1698" s="61"/>
      <c r="R1698" s="61"/>
      <c r="S1698" s="61"/>
      <c r="T1698" s="61"/>
      <c r="U1698" s="61"/>
      <c r="V1698" s="61"/>
      <c r="W1698" s="61"/>
      <c r="X1698" s="61"/>
      <c r="Y1698" s="61"/>
      <c r="Z1698" s="61"/>
    </row>
    <row r="1699" ht="15.75" customHeight="1">
      <c r="A1699" s="61"/>
      <c r="B1699" s="61"/>
      <c r="C1699" s="61"/>
      <c r="D1699" s="61"/>
      <c r="E1699" s="61"/>
      <c r="F1699" s="61"/>
      <c r="G1699" s="61"/>
      <c r="H1699" s="63"/>
      <c r="I1699" s="61"/>
      <c r="J1699" s="61"/>
      <c r="K1699" s="61"/>
      <c r="L1699" s="61"/>
      <c r="M1699" s="61"/>
      <c r="N1699" s="61"/>
      <c r="O1699" s="61"/>
      <c r="P1699" s="61"/>
      <c r="Q1699" s="61"/>
      <c r="R1699" s="61"/>
      <c r="S1699" s="61"/>
      <c r="T1699" s="61"/>
      <c r="U1699" s="61"/>
      <c r="V1699" s="61"/>
      <c r="W1699" s="61"/>
      <c r="X1699" s="61"/>
      <c r="Y1699" s="61"/>
      <c r="Z1699" s="61"/>
    </row>
    <row r="1700" ht="15.75" customHeight="1">
      <c r="A1700" s="61"/>
      <c r="B1700" s="61"/>
      <c r="C1700" s="61"/>
      <c r="D1700" s="61"/>
      <c r="E1700" s="61"/>
      <c r="F1700" s="61"/>
      <c r="G1700" s="61"/>
      <c r="H1700" s="63"/>
      <c r="I1700" s="61"/>
      <c r="J1700" s="61"/>
      <c r="K1700" s="61"/>
      <c r="L1700" s="61"/>
      <c r="M1700" s="61"/>
      <c r="N1700" s="61"/>
      <c r="O1700" s="61"/>
      <c r="P1700" s="61"/>
      <c r="Q1700" s="61"/>
      <c r="R1700" s="61"/>
      <c r="S1700" s="61"/>
      <c r="T1700" s="61"/>
      <c r="U1700" s="61"/>
      <c r="V1700" s="61"/>
      <c r="W1700" s="61"/>
      <c r="X1700" s="61"/>
      <c r="Y1700" s="61"/>
      <c r="Z1700" s="61"/>
    </row>
    <row r="1701" ht="15.75" customHeight="1">
      <c r="A1701" s="61"/>
      <c r="B1701" s="61"/>
      <c r="C1701" s="61"/>
      <c r="D1701" s="61"/>
      <c r="E1701" s="61"/>
      <c r="F1701" s="61"/>
      <c r="G1701" s="61"/>
      <c r="H1701" s="63"/>
      <c r="I1701" s="61"/>
      <c r="J1701" s="61"/>
      <c r="K1701" s="61"/>
      <c r="L1701" s="61"/>
      <c r="M1701" s="61"/>
      <c r="N1701" s="61"/>
      <c r="O1701" s="61"/>
      <c r="P1701" s="61"/>
      <c r="Q1701" s="61"/>
      <c r="R1701" s="61"/>
      <c r="S1701" s="61"/>
      <c r="T1701" s="61"/>
      <c r="U1701" s="61"/>
      <c r="V1701" s="61"/>
      <c r="W1701" s="61"/>
      <c r="X1701" s="61"/>
      <c r="Y1701" s="61"/>
      <c r="Z1701" s="61"/>
    </row>
    <row r="1702" ht="15.75" customHeight="1">
      <c r="A1702" s="61"/>
      <c r="B1702" s="61"/>
      <c r="C1702" s="61"/>
      <c r="D1702" s="61"/>
      <c r="E1702" s="61"/>
      <c r="F1702" s="61"/>
      <c r="G1702" s="61"/>
      <c r="H1702" s="63"/>
      <c r="I1702" s="61"/>
      <c r="J1702" s="61"/>
      <c r="K1702" s="61"/>
      <c r="L1702" s="61"/>
      <c r="M1702" s="61"/>
      <c r="N1702" s="61"/>
      <c r="O1702" s="61"/>
      <c r="P1702" s="61"/>
      <c r="Q1702" s="61"/>
      <c r="R1702" s="61"/>
      <c r="S1702" s="61"/>
      <c r="T1702" s="61"/>
      <c r="U1702" s="61"/>
      <c r="V1702" s="61"/>
      <c r="W1702" s="61"/>
      <c r="X1702" s="61"/>
      <c r="Y1702" s="61"/>
      <c r="Z1702" s="61"/>
    </row>
    <row r="1703" ht="15.75" customHeight="1">
      <c r="A1703" s="61"/>
      <c r="B1703" s="61"/>
      <c r="C1703" s="61"/>
      <c r="D1703" s="61"/>
      <c r="E1703" s="61"/>
      <c r="F1703" s="61"/>
      <c r="G1703" s="61"/>
      <c r="H1703" s="63"/>
      <c r="I1703" s="61"/>
      <c r="J1703" s="61"/>
      <c r="K1703" s="61"/>
      <c r="L1703" s="61"/>
      <c r="M1703" s="61"/>
      <c r="N1703" s="61"/>
      <c r="O1703" s="61"/>
      <c r="P1703" s="61"/>
      <c r="Q1703" s="61"/>
      <c r="R1703" s="61"/>
      <c r="S1703" s="61"/>
      <c r="T1703" s="61"/>
      <c r="U1703" s="61"/>
      <c r="V1703" s="61"/>
      <c r="W1703" s="61"/>
      <c r="X1703" s="61"/>
      <c r="Y1703" s="61"/>
      <c r="Z1703" s="61"/>
    </row>
    <row r="1704" ht="15.75" customHeight="1">
      <c r="A1704" s="61"/>
      <c r="B1704" s="61"/>
      <c r="C1704" s="61"/>
      <c r="D1704" s="61"/>
      <c r="E1704" s="61"/>
      <c r="F1704" s="61"/>
      <c r="G1704" s="61"/>
      <c r="H1704" s="63"/>
      <c r="I1704" s="61"/>
      <c r="J1704" s="61"/>
      <c r="K1704" s="61"/>
      <c r="L1704" s="61"/>
      <c r="M1704" s="61"/>
      <c r="N1704" s="61"/>
      <c r="O1704" s="61"/>
      <c r="P1704" s="61"/>
      <c r="Q1704" s="61"/>
      <c r="R1704" s="61"/>
      <c r="S1704" s="61"/>
      <c r="T1704" s="61"/>
      <c r="U1704" s="61"/>
      <c r="V1704" s="61"/>
      <c r="W1704" s="61"/>
      <c r="X1704" s="61"/>
      <c r="Y1704" s="61"/>
      <c r="Z1704" s="61"/>
    </row>
    <row r="1705" ht="15.75" customHeight="1">
      <c r="A1705" s="61"/>
      <c r="B1705" s="61"/>
      <c r="C1705" s="61"/>
      <c r="D1705" s="61"/>
      <c r="E1705" s="61"/>
      <c r="F1705" s="61"/>
      <c r="G1705" s="61"/>
      <c r="H1705" s="63"/>
      <c r="I1705" s="61"/>
      <c r="J1705" s="61"/>
      <c r="K1705" s="61"/>
      <c r="L1705" s="61"/>
      <c r="M1705" s="61"/>
      <c r="N1705" s="61"/>
      <c r="O1705" s="61"/>
      <c r="P1705" s="61"/>
      <c r="Q1705" s="61"/>
      <c r="R1705" s="61"/>
      <c r="S1705" s="61"/>
      <c r="T1705" s="61"/>
      <c r="U1705" s="61"/>
      <c r="V1705" s="61"/>
      <c r="W1705" s="61"/>
      <c r="X1705" s="61"/>
      <c r="Y1705" s="61"/>
      <c r="Z1705" s="61"/>
    </row>
    <row r="1706" ht="15.75" customHeight="1">
      <c r="A1706" s="61"/>
      <c r="B1706" s="61"/>
      <c r="C1706" s="61"/>
      <c r="D1706" s="61"/>
      <c r="E1706" s="61"/>
      <c r="F1706" s="61"/>
      <c r="G1706" s="61"/>
      <c r="H1706" s="63"/>
      <c r="I1706" s="61"/>
      <c r="J1706" s="61"/>
      <c r="K1706" s="61"/>
      <c r="L1706" s="61"/>
      <c r="M1706" s="61"/>
      <c r="N1706" s="61"/>
      <c r="O1706" s="61"/>
      <c r="P1706" s="61"/>
      <c r="Q1706" s="61"/>
      <c r="R1706" s="61"/>
      <c r="S1706" s="61"/>
      <c r="T1706" s="61"/>
      <c r="U1706" s="61"/>
      <c r="V1706" s="61"/>
      <c r="W1706" s="61"/>
      <c r="X1706" s="61"/>
      <c r="Y1706" s="61"/>
      <c r="Z1706" s="61"/>
    </row>
    <row r="1707" ht="15.75" customHeight="1">
      <c r="A1707" s="61"/>
      <c r="B1707" s="61"/>
      <c r="C1707" s="61"/>
      <c r="D1707" s="61"/>
      <c r="E1707" s="61"/>
      <c r="F1707" s="61"/>
      <c r="G1707" s="61"/>
      <c r="H1707" s="63"/>
      <c r="I1707" s="61"/>
      <c r="J1707" s="61"/>
      <c r="K1707" s="61"/>
      <c r="L1707" s="61"/>
      <c r="M1707" s="61"/>
      <c r="N1707" s="61"/>
      <c r="O1707" s="61"/>
      <c r="P1707" s="61"/>
      <c r="Q1707" s="61"/>
      <c r="R1707" s="61"/>
      <c r="S1707" s="61"/>
      <c r="T1707" s="61"/>
      <c r="U1707" s="61"/>
      <c r="V1707" s="61"/>
      <c r="W1707" s="61"/>
      <c r="X1707" s="61"/>
      <c r="Y1707" s="61"/>
      <c r="Z1707" s="61"/>
    </row>
    <row r="1708" ht="15.75" customHeight="1">
      <c r="A1708" s="61"/>
      <c r="B1708" s="61"/>
      <c r="C1708" s="61"/>
      <c r="D1708" s="61"/>
      <c r="E1708" s="61"/>
      <c r="F1708" s="61"/>
      <c r="G1708" s="61"/>
      <c r="H1708" s="63"/>
      <c r="I1708" s="61"/>
      <c r="J1708" s="61"/>
      <c r="K1708" s="61"/>
      <c r="L1708" s="61"/>
      <c r="M1708" s="61"/>
      <c r="N1708" s="61"/>
      <c r="O1708" s="61"/>
      <c r="P1708" s="61"/>
      <c r="Q1708" s="61"/>
      <c r="R1708" s="61"/>
      <c r="S1708" s="61"/>
      <c r="T1708" s="61"/>
      <c r="U1708" s="61"/>
      <c r="V1708" s="61"/>
      <c r="W1708" s="61"/>
      <c r="X1708" s="61"/>
      <c r="Y1708" s="61"/>
      <c r="Z1708" s="61"/>
    </row>
    <row r="1709" ht="15.75" customHeight="1">
      <c r="A1709" s="61"/>
      <c r="B1709" s="61"/>
      <c r="C1709" s="61"/>
      <c r="D1709" s="61"/>
      <c r="E1709" s="61"/>
      <c r="F1709" s="61"/>
      <c r="G1709" s="61"/>
      <c r="H1709" s="63"/>
      <c r="I1709" s="61"/>
      <c r="J1709" s="61"/>
      <c r="K1709" s="61"/>
      <c r="L1709" s="61"/>
      <c r="M1709" s="61"/>
      <c r="N1709" s="61"/>
      <c r="O1709" s="61"/>
      <c r="P1709" s="61"/>
      <c r="Q1709" s="61"/>
      <c r="R1709" s="61"/>
      <c r="S1709" s="61"/>
      <c r="T1709" s="61"/>
      <c r="U1709" s="61"/>
      <c r="V1709" s="61"/>
      <c r="W1709" s="61"/>
      <c r="X1709" s="61"/>
      <c r="Y1709" s="61"/>
      <c r="Z1709" s="61"/>
    </row>
    <row r="1710" ht="15.75" customHeight="1">
      <c r="A1710" s="61"/>
      <c r="B1710" s="61"/>
      <c r="C1710" s="61"/>
      <c r="D1710" s="61"/>
      <c r="E1710" s="61"/>
      <c r="F1710" s="61"/>
      <c r="G1710" s="61"/>
      <c r="H1710" s="63"/>
      <c r="I1710" s="61"/>
      <c r="J1710" s="61"/>
      <c r="K1710" s="61"/>
      <c r="L1710" s="61"/>
      <c r="M1710" s="61"/>
      <c r="N1710" s="61"/>
      <c r="O1710" s="61"/>
      <c r="P1710" s="61"/>
      <c r="Q1710" s="61"/>
      <c r="R1710" s="61"/>
      <c r="S1710" s="61"/>
      <c r="T1710" s="61"/>
      <c r="U1710" s="61"/>
      <c r="V1710" s="61"/>
      <c r="W1710" s="61"/>
      <c r="X1710" s="61"/>
      <c r="Y1710" s="61"/>
      <c r="Z1710" s="61"/>
    </row>
    <row r="1711" ht="15.75" customHeight="1">
      <c r="A1711" s="61"/>
      <c r="B1711" s="61"/>
      <c r="C1711" s="61"/>
      <c r="D1711" s="61"/>
      <c r="E1711" s="61"/>
      <c r="F1711" s="61"/>
      <c r="G1711" s="61"/>
      <c r="H1711" s="63"/>
      <c r="I1711" s="61"/>
      <c r="J1711" s="61"/>
      <c r="K1711" s="61"/>
      <c r="L1711" s="61"/>
      <c r="M1711" s="61"/>
      <c r="N1711" s="61"/>
      <c r="O1711" s="61"/>
      <c r="P1711" s="61"/>
      <c r="Q1711" s="61"/>
      <c r="R1711" s="61"/>
      <c r="S1711" s="61"/>
      <c r="T1711" s="61"/>
      <c r="U1711" s="61"/>
      <c r="V1711" s="61"/>
      <c r="W1711" s="61"/>
      <c r="X1711" s="61"/>
      <c r="Y1711" s="61"/>
      <c r="Z1711" s="61"/>
    </row>
    <row r="1712" ht="15.75" customHeight="1">
      <c r="A1712" s="61"/>
      <c r="B1712" s="61"/>
      <c r="C1712" s="61"/>
      <c r="D1712" s="61"/>
      <c r="E1712" s="61"/>
      <c r="F1712" s="61"/>
      <c r="G1712" s="61"/>
      <c r="H1712" s="63"/>
      <c r="I1712" s="61"/>
      <c r="J1712" s="61"/>
      <c r="K1712" s="61"/>
      <c r="L1712" s="61"/>
      <c r="M1712" s="61"/>
      <c r="N1712" s="61"/>
      <c r="O1712" s="61"/>
      <c r="P1712" s="61"/>
      <c r="Q1712" s="61"/>
      <c r="R1712" s="61"/>
      <c r="S1712" s="61"/>
      <c r="T1712" s="61"/>
      <c r="U1712" s="61"/>
      <c r="V1712" s="61"/>
      <c r="W1712" s="61"/>
      <c r="X1712" s="61"/>
      <c r="Y1712" s="61"/>
      <c r="Z1712" s="61"/>
    </row>
    <row r="1713" ht="15.75" customHeight="1">
      <c r="A1713" s="61"/>
      <c r="B1713" s="61"/>
      <c r="C1713" s="61"/>
      <c r="D1713" s="61"/>
      <c r="E1713" s="61"/>
      <c r="F1713" s="61"/>
      <c r="G1713" s="61"/>
      <c r="H1713" s="63"/>
      <c r="I1713" s="61"/>
      <c r="J1713" s="61"/>
      <c r="K1713" s="61"/>
      <c r="L1713" s="61"/>
      <c r="M1713" s="61"/>
      <c r="N1713" s="61"/>
      <c r="O1713" s="61"/>
      <c r="P1713" s="61"/>
      <c r="Q1713" s="61"/>
      <c r="R1713" s="61"/>
      <c r="S1713" s="61"/>
      <c r="T1713" s="61"/>
      <c r="U1713" s="61"/>
      <c r="V1713" s="61"/>
      <c r="W1713" s="61"/>
      <c r="X1713" s="61"/>
      <c r="Y1713" s="61"/>
      <c r="Z1713" s="61"/>
    </row>
    <row r="1714" ht="15.75" customHeight="1">
      <c r="A1714" s="61"/>
      <c r="B1714" s="61"/>
      <c r="C1714" s="61"/>
      <c r="D1714" s="61"/>
      <c r="E1714" s="61"/>
      <c r="F1714" s="61"/>
      <c r="G1714" s="61"/>
      <c r="H1714" s="63"/>
      <c r="I1714" s="61"/>
      <c r="J1714" s="61"/>
      <c r="K1714" s="61"/>
      <c r="L1714" s="61"/>
      <c r="M1714" s="61"/>
      <c r="N1714" s="61"/>
      <c r="O1714" s="61"/>
      <c r="P1714" s="61"/>
      <c r="Q1714" s="61"/>
      <c r="R1714" s="61"/>
      <c r="S1714" s="61"/>
      <c r="T1714" s="61"/>
      <c r="U1714" s="61"/>
      <c r="V1714" s="61"/>
      <c r="W1714" s="61"/>
      <c r="X1714" s="61"/>
      <c r="Y1714" s="61"/>
      <c r="Z1714" s="61"/>
    </row>
    <row r="1715" ht="15.75" customHeight="1">
      <c r="A1715" s="61"/>
      <c r="B1715" s="61"/>
      <c r="C1715" s="61"/>
      <c r="D1715" s="61"/>
      <c r="E1715" s="61"/>
      <c r="F1715" s="61"/>
      <c r="G1715" s="61"/>
      <c r="H1715" s="63"/>
      <c r="I1715" s="61"/>
      <c r="J1715" s="61"/>
      <c r="K1715" s="61"/>
      <c r="L1715" s="61"/>
      <c r="M1715" s="61"/>
      <c r="N1715" s="61"/>
      <c r="O1715" s="61"/>
      <c r="P1715" s="61"/>
      <c r="Q1715" s="61"/>
      <c r="R1715" s="61"/>
      <c r="S1715" s="61"/>
      <c r="T1715" s="61"/>
      <c r="U1715" s="61"/>
      <c r="V1715" s="61"/>
      <c r="W1715" s="61"/>
      <c r="X1715" s="61"/>
      <c r="Y1715" s="61"/>
      <c r="Z1715" s="61"/>
    </row>
    <row r="1716" ht="15.75" customHeight="1">
      <c r="A1716" s="61"/>
      <c r="B1716" s="61"/>
      <c r="C1716" s="61"/>
      <c r="D1716" s="61"/>
      <c r="E1716" s="61"/>
      <c r="F1716" s="61"/>
      <c r="G1716" s="61"/>
      <c r="H1716" s="63"/>
      <c r="I1716" s="61"/>
      <c r="J1716" s="61"/>
      <c r="K1716" s="61"/>
      <c r="L1716" s="61"/>
      <c r="M1716" s="61"/>
      <c r="N1716" s="61"/>
      <c r="O1716" s="61"/>
      <c r="P1716" s="61"/>
      <c r="Q1716" s="61"/>
      <c r="R1716" s="61"/>
      <c r="S1716" s="61"/>
      <c r="T1716" s="61"/>
      <c r="U1716" s="61"/>
      <c r="V1716" s="61"/>
      <c r="W1716" s="61"/>
      <c r="X1716" s="61"/>
      <c r="Y1716" s="61"/>
      <c r="Z1716" s="61"/>
    </row>
    <row r="1717" ht="15.75" customHeight="1">
      <c r="A1717" s="61"/>
      <c r="B1717" s="61"/>
      <c r="C1717" s="61"/>
      <c r="D1717" s="61"/>
      <c r="E1717" s="61"/>
      <c r="F1717" s="61"/>
      <c r="G1717" s="61"/>
      <c r="H1717" s="63"/>
      <c r="I1717" s="61"/>
      <c r="J1717" s="61"/>
      <c r="K1717" s="61"/>
      <c r="L1717" s="61"/>
      <c r="M1717" s="61"/>
      <c r="N1717" s="61"/>
      <c r="O1717" s="61"/>
      <c r="P1717" s="61"/>
      <c r="Q1717" s="61"/>
      <c r="R1717" s="61"/>
      <c r="S1717" s="61"/>
      <c r="T1717" s="61"/>
      <c r="U1717" s="61"/>
      <c r="V1717" s="61"/>
      <c r="W1717" s="61"/>
      <c r="X1717" s="61"/>
      <c r="Y1717" s="61"/>
      <c r="Z1717" s="61"/>
    </row>
    <row r="1718" ht="15.75" customHeight="1">
      <c r="A1718" s="61"/>
      <c r="B1718" s="61"/>
      <c r="C1718" s="61"/>
      <c r="D1718" s="61"/>
      <c r="E1718" s="61"/>
      <c r="F1718" s="61"/>
      <c r="G1718" s="61"/>
      <c r="H1718" s="63"/>
      <c r="I1718" s="61"/>
      <c r="J1718" s="61"/>
      <c r="K1718" s="61"/>
      <c r="L1718" s="61"/>
      <c r="M1718" s="61"/>
      <c r="N1718" s="61"/>
      <c r="O1718" s="61"/>
      <c r="P1718" s="61"/>
      <c r="Q1718" s="61"/>
      <c r="R1718" s="61"/>
      <c r="S1718" s="61"/>
      <c r="T1718" s="61"/>
      <c r="U1718" s="61"/>
      <c r="V1718" s="61"/>
      <c r="W1718" s="61"/>
      <c r="X1718" s="61"/>
      <c r="Y1718" s="61"/>
      <c r="Z1718" s="61"/>
    </row>
    <row r="1719" ht="15.75" customHeight="1">
      <c r="A1719" s="61"/>
      <c r="B1719" s="61"/>
      <c r="C1719" s="61"/>
      <c r="D1719" s="61"/>
      <c r="E1719" s="61"/>
      <c r="F1719" s="61"/>
      <c r="G1719" s="61"/>
      <c r="H1719" s="63"/>
      <c r="I1719" s="61"/>
      <c r="J1719" s="61"/>
      <c r="K1719" s="61"/>
      <c r="L1719" s="61"/>
      <c r="M1719" s="61"/>
      <c r="N1719" s="61"/>
      <c r="O1719" s="61"/>
      <c r="P1719" s="61"/>
      <c r="Q1719" s="61"/>
      <c r="R1719" s="61"/>
      <c r="S1719" s="61"/>
      <c r="T1719" s="61"/>
      <c r="U1719" s="61"/>
      <c r="V1719" s="61"/>
      <c r="W1719" s="61"/>
      <c r="X1719" s="61"/>
      <c r="Y1719" s="61"/>
      <c r="Z1719" s="61"/>
    </row>
    <row r="1720" ht="15.75" customHeight="1">
      <c r="A1720" s="61"/>
      <c r="B1720" s="61"/>
      <c r="C1720" s="61"/>
      <c r="D1720" s="61"/>
      <c r="E1720" s="61"/>
      <c r="F1720" s="61"/>
      <c r="G1720" s="61"/>
      <c r="H1720" s="63"/>
      <c r="I1720" s="61"/>
      <c r="J1720" s="61"/>
      <c r="K1720" s="61"/>
      <c r="L1720" s="61"/>
      <c r="M1720" s="61"/>
      <c r="N1720" s="61"/>
      <c r="O1720" s="61"/>
      <c r="P1720" s="61"/>
      <c r="Q1720" s="61"/>
      <c r="R1720" s="61"/>
      <c r="S1720" s="61"/>
      <c r="T1720" s="61"/>
      <c r="U1720" s="61"/>
      <c r="V1720" s="61"/>
      <c r="W1720" s="61"/>
      <c r="X1720" s="61"/>
      <c r="Y1720" s="61"/>
      <c r="Z1720" s="61"/>
    </row>
    <row r="1721" ht="15.75" customHeight="1">
      <c r="A1721" s="61"/>
      <c r="B1721" s="61"/>
      <c r="C1721" s="61"/>
      <c r="D1721" s="61"/>
      <c r="E1721" s="61"/>
      <c r="F1721" s="61"/>
      <c r="G1721" s="61"/>
      <c r="H1721" s="63"/>
      <c r="I1721" s="61"/>
      <c r="J1721" s="61"/>
      <c r="K1721" s="61"/>
      <c r="L1721" s="61"/>
      <c r="M1721" s="61"/>
      <c r="N1721" s="61"/>
      <c r="O1721" s="61"/>
      <c r="P1721" s="61"/>
      <c r="Q1721" s="61"/>
      <c r="R1721" s="61"/>
      <c r="S1721" s="61"/>
      <c r="T1721" s="61"/>
      <c r="U1721" s="61"/>
      <c r="V1721" s="61"/>
      <c r="W1721" s="61"/>
      <c r="X1721" s="61"/>
      <c r="Y1721" s="61"/>
      <c r="Z1721" s="61"/>
    </row>
    <row r="1722" ht="15.75" customHeight="1">
      <c r="A1722" s="61"/>
      <c r="B1722" s="61"/>
      <c r="C1722" s="61"/>
      <c r="D1722" s="61"/>
      <c r="E1722" s="61"/>
      <c r="F1722" s="61"/>
      <c r="G1722" s="61"/>
      <c r="H1722" s="63"/>
      <c r="I1722" s="61"/>
      <c r="J1722" s="61"/>
      <c r="K1722" s="61"/>
      <c r="L1722" s="61"/>
      <c r="M1722" s="61"/>
      <c r="N1722" s="61"/>
      <c r="O1722" s="61"/>
      <c r="P1722" s="61"/>
      <c r="Q1722" s="61"/>
      <c r="R1722" s="61"/>
      <c r="S1722" s="61"/>
      <c r="T1722" s="61"/>
      <c r="U1722" s="61"/>
      <c r="V1722" s="61"/>
      <c r="W1722" s="61"/>
      <c r="X1722" s="61"/>
      <c r="Y1722" s="61"/>
      <c r="Z1722" s="61"/>
    </row>
    <row r="1723" ht="15.75" customHeight="1">
      <c r="A1723" s="61"/>
      <c r="B1723" s="61"/>
      <c r="C1723" s="61"/>
      <c r="D1723" s="61"/>
      <c r="E1723" s="61"/>
      <c r="F1723" s="61"/>
      <c r="G1723" s="61"/>
      <c r="H1723" s="63"/>
      <c r="I1723" s="61"/>
      <c r="J1723" s="61"/>
      <c r="K1723" s="61"/>
      <c r="L1723" s="61"/>
      <c r="M1723" s="61"/>
      <c r="N1723" s="61"/>
      <c r="O1723" s="61"/>
      <c r="P1723" s="61"/>
      <c r="Q1723" s="61"/>
      <c r="R1723" s="61"/>
      <c r="S1723" s="61"/>
      <c r="T1723" s="61"/>
      <c r="U1723" s="61"/>
      <c r="V1723" s="61"/>
      <c r="W1723" s="61"/>
      <c r="X1723" s="61"/>
      <c r="Y1723" s="61"/>
      <c r="Z1723" s="61"/>
    </row>
    <row r="1724" ht="15.75" customHeight="1">
      <c r="A1724" s="61"/>
      <c r="B1724" s="61"/>
      <c r="C1724" s="61"/>
      <c r="D1724" s="61"/>
      <c r="E1724" s="61"/>
      <c r="F1724" s="61"/>
      <c r="G1724" s="61"/>
      <c r="H1724" s="63"/>
      <c r="I1724" s="61"/>
      <c r="J1724" s="61"/>
      <c r="K1724" s="61"/>
      <c r="L1724" s="61"/>
      <c r="M1724" s="61"/>
      <c r="N1724" s="61"/>
      <c r="O1724" s="61"/>
      <c r="P1724" s="61"/>
      <c r="Q1724" s="61"/>
      <c r="R1724" s="61"/>
      <c r="S1724" s="61"/>
      <c r="T1724" s="61"/>
      <c r="U1724" s="61"/>
      <c r="V1724" s="61"/>
      <c r="W1724" s="61"/>
      <c r="X1724" s="61"/>
      <c r="Y1724" s="61"/>
      <c r="Z1724" s="61"/>
    </row>
    <row r="1725" ht="15.75" customHeight="1">
      <c r="A1725" s="61"/>
      <c r="B1725" s="61"/>
      <c r="C1725" s="61"/>
      <c r="D1725" s="61"/>
      <c r="E1725" s="61"/>
      <c r="F1725" s="61"/>
      <c r="G1725" s="61"/>
      <c r="H1725" s="63"/>
      <c r="I1725" s="61"/>
      <c r="J1725" s="61"/>
      <c r="K1725" s="61"/>
      <c r="L1725" s="61"/>
      <c r="M1725" s="61"/>
      <c r="N1725" s="61"/>
      <c r="O1725" s="61"/>
      <c r="P1725" s="61"/>
      <c r="Q1725" s="61"/>
      <c r="R1725" s="61"/>
      <c r="S1725" s="61"/>
      <c r="T1725" s="61"/>
      <c r="U1725" s="61"/>
      <c r="V1725" s="61"/>
      <c r="W1725" s="61"/>
      <c r="X1725" s="61"/>
      <c r="Y1725" s="61"/>
      <c r="Z1725" s="61"/>
    </row>
    <row r="1726" ht="15.75" customHeight="1">
      <c r="A1726" s="61"/>
      <c r="B1726" s="61"/>
      <c r="C1726" s="61"/>
      <c r="D1726" s="61"/>
      <c r="E1726" s="61"/>
      <c r="F1726" s="61"/>
      <c r="G1726" s="61"/>
      <c r="H1726" s="63"/>
      <c r="I1726" s="61"/>
      <c r="J1726" s="61"/>
      <c r="K1726" s="61"/>
      <c r="L1726" s="61"/>
      <c r="M1726" s="61"/>
      <c r="N1726" s="61"/>
      <c r="O1726" s="61"/>
      <c r="P1726" s="61"/>
      <c r="Q1726" s="61"/>
      <c r="R1726" s="61"/>
      <c r="S1726" s="61"/>
      <c r="T1726" s="61"/>
      <c r="U1726" s="61"/>
      <c r="V1726" s="61"/>
      <c r="W1726" s="61"/>
      <c r="X1726" s="61"/>
      <c r="Y1726" s="61"/>
      <c r="Z1726" s="61"/>
    </row>
    <row r="1727" ht="15.75" customHeight="1">
      <c r="A1727" s="61"/>
      <c r="B1727" s="61"/>
      <c r="C1727" s="61"/>
      <c r="D1727" s="61"/>
      <c r="E1727" s="61"/>
      <c r="F1727" s="61"/>
      <c r="G1727" s="61"/>
      <c r="H1727" s="63"/>
      <c r="I1727" s="61"/>
      <c r="J1727" s="61"/>
      <c r="K1727" s="61"/>
      <c r="L1727" s="61"/>
      <c r="M1727" s="61"/>
      <c r="N1727" s="61"/>
      <c r="O1727" s="61"/>
      <c r="P1727" s="61"/>
      <c r="Q1727" s="61"/>
      <c r="R1727" s="61"/>
      <c r="S1727" s="61"/>
      <c r="T1727" s="61"/>
      <c r="U1727" s="61"/>
      <c r="V1727" s="61"/>
      <c r="W1727" s="61"/>
      <c r="X1727" s="61"/>
      <c r="Y1727" s="61"/>
      <c r="Z1727" s="61"/>
    </row>
    <row r="1728" ht="15.75" customHeight="1">
      <c r="A1728" s="61"/>
      <c r="B1728" s="61"/>
      <c r="C1728" s="61"/>
      <c r="D1728" s="61"/>
      <c r="E1728" s="61"/>
      <c r="F1728" s="61"/>
      <c r="G1728" s="61"/>
      <c r="H1728" s="63"/>
      <c r="I1728" s="61"/>
      <c r="J1728" s="61"/>
      <c r="K1728" s="61"/>
      <c r="L1728" s="61"/>
      <c r="M1728" s="61"/>
      <c r="N1728" s="61"/>
      <c r="O1728" s="61"/>
      <c r="P1728" s="61"/>
      <c r="Q1728" s="61"/>
      <c r="R1728" s="61"/>
      <c r="S1728" s="61"/>
      <c r="T1728" s="61"/>
      <c r="U1728" s="61"/>
      <c r="V1728" s="61"/>
      <c r="W1728" s="61"/>
      <c r="X1728" s="61"/>
      <c r="Y1728" s="61"/>
      <c r="Z1728" s="61"/>
    </row>
    <row r="1729" ht="15.75" customHeight="1">
      <c r="A1729" s="61"/>
      <c r="B1729" s="61"/>
      <c r="C1729" s="61"/>
      <c r="D1729" s="61"/>
      <c r="E1729" s="61"/>
      <c r="F1729" s="61"/>
      <c r="G1729" s="61"/>
      <c r="H1729" s="63"/>
      <c r="I1729" s="61"/>
      <c r="J1729" s="61"/>
      <c r="K1729" s="61"/>
      <c r="L1729" s="61"/>
      <c r="M1729" s="61"/>
      <c r="N1729" s="61"/>
      <c r="O1729" s="61"/>
      <c r="P1729" s="61"/>
      <c r="Q1729" s="61"/>
      <c r="R1729" s="61"/>
      <c r="S1729" s="61"/>
      <c r="T1729" s="61"/>
      <c r="U1729" s="61"/>
      <c r="V1729" s="61"/>
      <c r="W1729" s="61"/>
      <c r="X1729" s="61"/>
      <c r="Y1729" s="61"/>
      <c r="Z1729" s="61"/>
    </row>
    <row r="1730" ht="15.75" customHeight="1">
      <c r="A1730" s="61"/>
      <c r="B1730" s="61"/>
      <c r="C1730" s="61"/>
      <c r="D1730" s="61"/>
      <c r="E1730" s="61"/>
      <c r="F1730" s="61"/>
      <c r="G1730" s="61"/>
      <c r="H1730" s="63"/>
      <c r="I1730" s="61"/>
      <c r="J1730" s="61"/>
      <c r="K1730" s="61"/>
      <c r="L1730" s="61"/>
      <c r="M1730" s="61"/>
      <c r="N1730" s="61"/>
      <c r="O1730" s="61"/>
      <c r="P1730" s="61"/>
      <c r="Q1730" s="61"/>
      <c r="R1730" s="61"/>
      <c r="S1730" s="61"/>
      <c r="T1730" s="61"/>
      <c r="U1730" s="61"/>
      <c r="V1730" s="61"/>
      <c r="W1730" s="61"/>
      <c r="X1730" s="61"/>
      <c r="Y1730" s="61"/>
      <c r="Z1730" s="61"/>
    </row>
    <row r="1731" ht="15.75" customHeight="1">
      <c r="A1731" s="61"/>
      <c r="B1731" s="61"/>
      <c r="C1731" s="61"/>
      <c r="D1731" s="61"/>
      <c r="E1731" s="61"/>
      <c r="F1731" s="61"/>
      <c r="G1731" s="61"/>
      <c r="H1731" s="63"/>
      <c r="I1731" s="61"/>
      <c r="J1731" s="61"/>
      <c r="K1731" s="61"/>
      <c r="L1731" s="61"/>
      <c r="M1731" s="61"/>
      <c r="N1731" s="61"/>
      <c r="O1731" s="61"/>
      <c r="P1731" s="61"/>
      <c r="Q1731" s="61"/>
      <c r="R1731" s="61"/>
      <c r="S1731" s="61"/>
      <c r="T1731" s="61"/>
      <c r="U1731" s="61"/>
      <c r="V1731" s="61"/>
      <c r="W1731" s="61"/>
      <c r="X1731" s="61"/>
      <c r="Y1731" s="61"/>
      <c r="Z1731" s="61"/>
    </row>
    <row r="1732" ht="15.75" customHeight="1">
      <c r="A1732" s="61"/>
      <c r="B1732" s="61"/>
      <c r="C1732" s="61"/>
      <c r="D1732" s="61"/>
      <c r="E1732" s="61"/>
      <c r="F1732" s="61"/>
      <c r="G1732" s="61"/>
      <c r="H1732" s="63"/>
      <c r="I1732" s="61"/>
      <c r="J1732" s="61"/>
      <c r="K1732" s="61"/>
      <c r="L1732" s="61"/>
      <c r="M1732" s="61"/>
      <c r="N1732" s="61"/>
      <c r="O1732" s="61"/>
      <c r="P1732" s="61"/>
      <c r="Q1732" s="61"/>
      <c r="R1732" s="61"/>
      <c r="S1732" s="61"/>
      <c r="T1732" s="61"/>
      <c r="U1732" s="61"/>
      <c r="V1732" s="61"/>
      <c r="W1732" s="61"/>
      <c r="X1732" s="61"/>
      <c r="Y1732" s="61"/>
      <c r="Z1732" s="61"/>
    </row>
    <row r="1733" ht="15.75" customHeight="1">
      <c r="A1733" s="61"/>
      <c r="B1733" s="61"/>
      <c r="C1733" s="61"/>
      <c r="D1733" s="61"/>
      <c r="E1733" s="61"/>
      <c r="F1733" s="61"/>
      <c r="G1733" s="61"/>
      <c r="H1733" s="63"/>
      <c r="I1733" s="61"/>
      <c r="J1733" s="61"/>
      <c r="K1733" s="61"/>
      <c r="L1733" s="61"/>
      <c r="M1733" s="61"/>
      <c r="N1733" s="61"/>
      <c r="O1733" s="61"/>
      <c r="P1733" s="61"/>
      <c r="Q1733" s="61"/>
      <c r="R1733" s="61"/>
      <c r="S1733" s="61"/>
      <c r="T1733" s="61"/>
      <c r="U1733" s="61"/>
      <c r="V1733" s="61"/>
      <c r="W1733" s="61"/>
      <c r="X1733" s="61"/>
      <c r="Y1733" s="61"/>
      <c r="Z1733" s="61"/>
    </row>
    <row r="1734" ht="15.75" customHeight="1">
      <c r="A1734" s="61"/>
      <c r="B1734" s="61"/>
      <c r="C1734" s="61"/>
      <c r="D1734" s="61"/>
      <c r="E1734" s="61"/>
      <c r="F1734" s="61"/>
      <c r="G1734" s="61"/>
      <c r="H1734" s="63"/>
      <c r="I1734" s="61"/>
      <c r="J1734" s="61"/>
      <c r="K1734" s="61"/>
      <c r="L1734" s="61"/>
      <c r="M1734" s="61"/>
      <c r="N1734" s="61"/>
      <c r="O1734" s="61"/>
      <c r="P1734" s="61"/>
      <c r="Q1734" s="61"/>
      <c r="R1734" s="61"/>
      <c r="S1734" s="61"/>
      <c r="T1734" s="61"/>
      <c r="U1734" s="61"/>
      <c r="V1734" s="61"/>
      <c r="W1734" s="61"/>
      <c r="X1734" s="61"/>
      <c r="Y1734" s="61"/>
      <c r="Z1734" s="61"/>
    </row>
    <row r="1735" ht="15.75" customHeight="1">
      <c r="A1735" s="61"/>
      <c r="B1735" s="61"/>
      <c r="C1735" s="61"/>
      <c r="D1735" s="61"/>
      <c r="E1735" s="61"/>
      <c r="F1735" s="61"/>
      <c r="G1735" s="61"/>
      <c r="H1735" s="63"/>
      <c r="I1735" s="61"/>
      <c r="J1735" s="61"/>
      <c r="K1735" s="61"/>
      <c r="L1735" s="61"/>
      <c r="M1735" s="61"/>
      <c r="N1735" s="61"/>
      <c r="O1735" s="61"/>
      <c r="P1735" s="61"/>
      <c r="Q1735" s="61"/>
      <c r="R1735" s="61"/>
      <c r="S1735" s="61"/>
      <c r="T1735" s="61"/>
      <c r="U1735" s="61"/>
      <c r="V1735" s="61"/>
      <c r="W1735" s="61"/>
      <c r="X1735" s="61"/>
      <c r="Y1735" s="61"/>
      <c r="Z1735" s="61"/>
    </row>
    <row r="1736" ht="15.75" customHeight="1">
      <c r="A1736" s="61"/>
      <c r="B1736" s="61"/>
      <c r="C1736" s="61"/>
      <c r="D1736" s="61"/>
      <c r="E1736" s="61"/>
      <c r="F1736" s="61"/>
      <c r="G1736" s="61"/>
      <c r="H1736" s="63"/>
      <c r="I1736" s="61"/>
      <c r="J1736" s="61"/>
      <c r="K1736" s="61"/>
      <c r="L1736" s="61"/>
      <c r="M1736" s="61"/>
      <c r="N1736" s="61"/>
      <c r="O1736" s="61"/>
      <c r="P1736" s="61"/>
      <c r="Q1736" s="61"/>
      <c r="R1736" s="61"/>
      <c r="S1736" s="61"/>
      <c r="T1736" s="61"/>
      <c r="U1736" s="61"/>
      <c r="V1736" s="61"/>
      <c r="W1736" s="61"/>
      <c r="X1736" s="61"/>
      <c r="Y1736" s="61"/>
      <c r="Z1736" s="61"/>
    </row>
    <row r="1737" ht="15.75" customHeight="1">
      <c r="A1737" s="61"/>
      <c r="B1737" s="61"/>
      <c r="C1737" s="61"/>
      <c r="D1737" s="61"/>
      <c r="E1737" s="61"/>
      <c r="F1737" s="61"/>
      <c r="G1737" s="61"/>
      <c r="H1737" s="63"/>
      <c r="I1737" s="61"/>
      <c r="J1737" s="61"/>
      <c r="K1737" s="61"/>
      <c r="L1737" s="61"/>
      <c r="M1737" s="61"/>
      <c r="N1737" s="61"/>
      <c r="O1737" s="61"/>
      <c r="P1737" s="61"/>
      <c r="Q1737" s="61"/>
      <c r="R1737" s="61"/>
      <c r="S1737" s="61"/>
      <c r="T1737" s="61"/>
      <c r="U1737" s="61"/>
      <c r="V1737" s="61"/>
      <c r="W1737" s="61"/>
      <c r="X1737" s="61"/>
      <c r="Y1737" s="61"/>
      <c r="Z1737" s="61"/>
    </row>
    <row r="1738" ht="15.75" customHeight="1">
      <c r="A1738" s="61"/>
      <c r="B1738" s="61"/>
      <c r="C1738" s="61"/>
      <c r="D1738" s="61"/>
      <c r="E1738" s="61"/>
      <c r="F1738" s="61"/>
      <c r="G1738" s="61"/>
      <c r="H1738" s="63"/>
      <c r="I1738" s="61"/>
      <c r="J1738" s="61"/>
      <c r="K1738" s="61"/>
      <c r="L1738" s="61"/>
      <c r="M1738" s="61"/>
      <c r="N1738" s="61"/>
      <c r="O1738" s="61"/>
      <c r="P1738" s="61"/>
      <c r="Q1738" s="61"/>
      <c r="R1738" s="61"/>
      <c r="S1738" s="61"/>
      <c r="T1738" s="61"/>
      <c r="U1738" s="61"/>
      <c r="V1738" s="61"/>
      <c r="W1738" s="61"/>
      <c r="X1738" s="61"/>
      <c r="Y1738" s="61"/>
      <c r="Z1738" s="61"/>
    </row>
    <row r="1739" ht="15.75" customHeight="1">
      <c r="A1739" s="61"/>
      <c r="B1739" s="61"/>
      <c r="C1739" s="61"/>
      <c r="D1739" s="61"/>
      <c r="E1739" s="61"/>
      <c r="F1739" s="61"/>
      <c r="G1739" s="61"/>
      <c r="H1739" s="63"/>
      <c r="I1739" s="61"/>
      <c r="J1739" s="61"/>
      <c r="K1739" s="61"/>
      <c r="L1739" s="61"/>
      <c r="M1739" s="61"/>
      <c r="N1739" s="61"/>
      <c r="O1739" s="61"/>
      <c r="P1739" s="61"/>
      <c r="Q1739" s="61"/>
      <c r="R1739" s="61"/>
      <c r="S1739" s="61"/>
      <c r="T1739" s="61"/>
      <c r="U1739" s="61"/>
      <c r="V1739" s="61"/>
      <c r="W1739" s="61"/>
      <c r="X1739" s="61"/>
      <c r="Y1739" s="61"/>
      <c r="Z1739" s="61"/>
    </row>
    <row r="1740" ht="15.75" customHeight="1">
      <c r="A1740" s="61"/>
      <c r="B1740" s="61"/>
      <c r="C1740" s="61"/>
      <c r="D1740" s="61"/>
      <c r="E1740" s="61"/>
      <c r="F1740" s="61"/>
      <c r="G1740" s="61"/>
      <c r="H1740" s="63"/>
      <c r="I1740" s="61"/>
      <c r="J1740" s="61"/>
      <c r="K1740" s="61"/>
      <c r="L1740" s="61"/>
      <c r="M1740" s="61"/>
      <c r="N1740" s="61"/>
      <c r="O1740" s="61"/>
      <c r="P1740" s="61"/>
      <c r="Q1740" s="61"/>
      <c r="R1740" s="61"/>
      <c r="S1740" s="61"/>
      <c r="T1740" s="61"/>
      <c r="U1740" s="61"/>
      <c r="V1740" s="61"/>
      <c r="W1740" s="61"/>
      <c r="X1740" s="61"/>
      <c r="Y1740" s="61"/>
      <c r="Z1740" s="61"/>
    </row>
    <row r="1741" ht="15.75" customHeight="1">
      <c r="A1741" s="61"/>
      <c r="B1741" s="61"/>
      <c r="C1741" s="61"/>
      <c r="D1741" s="61"/>
      <c r="E1741" s="61"/>
      <c r="F1741" s="61"/>
      <c r="G1741" s="61"/>
      <c r="H1741" s="63"/>
      <c r="I1741" s="61"/>
      <c r="J1741" s="61"/>
      <c r="K1741" s="61"/>
      <c r="L1741" s="61"/>
      <c r="M1741" s="61"/>
      <c r="N1741" s="61"/>
      <c r="O1741" s="61"/>
      <c r="P1741" s="61"/>
      <c r="Q1741" s="61"/>
      <c r="R1741" s="61"/>
      <c r="S1741" s="61"/>
      <c r="T1741" s="61"/>
      <c r="U1741" s="61"/>
      <c r="V1741" s="61"/>
      <c r="W1741" s="61"/>
      <c r="X1741" s="61"/>
      <c r="Y1741" s="61"/>
      <c r="Z1741" s="61"/>
    </row>
    <row r="1742" ht="15.75" customHeight="1">
      <c r="A1742" s="61"/>
      <c r="B1742" s="61"/>
      <c r="C1742" s="61"/>
      <c r="D1742" s="61"/>
      <c r="E1742" s="61"/>
      <c r="F1742" s="61"/>
      <c r="G1742" s="61"/>
      <c r="H1742" s="63"/>
      <c r="I1742" s="61"/>
      <c r="J1742" s="61"/>
      <c r="K1742" s="61"/>
      <c r="L1742" s="61"/>
      <c r="M1742" s="61"/>
      <c r="N1742" s="61"/>
      <c r="O1742" s="61"/>
      <c r="P1742" s="61"/>
      <c r="Q1742" s="61"/>
      <c r="R1742" s="61"/>
      <c r="S1742" s="61"/>
      <c r="T1742" s="61"/>
      <c r="U1742" s="61"/>
      <c r="V1742" s="61"/>
      <c r="W1742" s="61"/>
      <c r="X1742" s="61"/>
      <c r="Y1742" s="61"/>
      <c r="Z1742" s="61"/>
    </row>
    <row r="1743" ht="15.75" customHeight="1">
      <c r="A1743" s="61"/>
      <c r="B1743" s="61"/>
      <c r="C1743" s="61"/>
      <c r="D1743" s="61"/>
      <c r="E1743" s="61"/>
      <c r="F1743" s="61"/>
      <c r="G1743" s="61"/>
      <c r="H1743" s="63"/>
      <c r="I1743" s="61"/>
      <c r="J1743" s="61"/>
      <c r="K1743" s="61"/>
      <c r="L1743" s="61"/>
      <c r="M1743" s="61"/>
      <c r="N1743" s="61"/>
      <c r="O1743" s="61"/>
      <c r="P1743" s="61"/>
      <c r="Q1743" s="61"/>
      <c r="R1743" s="61"/>
      <c r="S1743" s="61"/>
      <c r="T1743" s="61"/>
      <c r="U1743" s="61"/>
      <c r="V1743" s="61"/>
      <c r="W1743" s="61"/>
      <c r="X1743" s="61"/>
      <c r="Y1743" s="61"/>
      <c r="Z1743" s="61"/>
    </row>
    <row r="1744" ht="15.75" customHeight="1">
      <c r="A1744" s="61"/>
      <c r="B1744" s="61"/>
      <c r="C1744" s="61"/>
      <c r="D1744" s="61"/>
      <c r="E1744" s="61"/>
      <c r="F1744" s="61"/>
      <c r="G1744" s="61"/>
      <c r="H1744" s="63"/>
      <c r="I1744" s="61"/>
      <c r="J1744" s="61"/>
      <c r="K1744" s="61"/>
      <c r="L1744" s="61"/>
      <c r="M1744" s="61"/>
      <c r="N1744" s="61"/>
      <c r="O1744" s="61"/>
      <c r="P1744" s="61"/>
      <c r="Q1744" s="61"/>
      <c r="R1744" s="61"/>
      <c r="S1744" s="61"/>
      <c r="T1744" s="61"/>
      <c r="U1744" s="61"/>
      <c r="V1744" s="61"/>
      <c r="W1744" s="61"/>
      <c r="X1744" s="61"/>
      <c r="Y1744" s="61"/>
      <c r="Z1744" s="61"/>
    </row>
    <row r="1745" ht="15.75" customHeight="1">
      <c r="A1745" s="61"/>
      <c r="B1745" s="61"/>
      <c r="C1745" s="61"/>
      <c r="D1745" s="61"/>
      <c r="E1745" s="61"/>
      <c r="F1745" s="61"/>
      <c r="G1745" s="61"/>
      <c r="H1745" s="63"/>
      <c r="I1745" s="61"/>
      <c r="J1745" s="61"/>
      <c r="K1745" s="61"/>
      <c r="L1745" s="61"/>
      <c r="M1745" s="61"/>
      <c r="N1745" s="61"/>
      <c r="O1745" s="61"/>
      <c r="P1745" s="61"/>
      <c r="Q1745" s="61"/>
      <c r="R1745" s="61"/>
      <c r="S1745" s="61"/>
      <c r="T1745" s="61"/>
      <c r="U1745" s="61"/>
      <c r="V1745" s="61"/>
      <c r="W1745" s="61"/>
      <c r="X1745" s="61"/>
      <c r="Y1745" s="61"/>
      <c r="Z1745" s="61"/>
    </row>
    <row r="1746" ht="15.75" customHeight="1">
      <c r="A1746" s="61"/>
      <c r="B1746" s="61"/>
      <c r="C1746" s="61"/>
      <c r="D1746" s="61"/>
      <c r="E1746" s="61"/>
      <c r="F1746" s="61"/>
      <c r="G1746" s="61"/>
      <c r="H1746" s="63"/>
      <c r="I1746" s="61"/>
      <c r="J1746" s="61"/>
      <c r="K1746" s="61"/>
      <c r="L1746" s="61"/>
      <c r="M1746" s="61"/>
      <c r="N1746" s="61"/>
      <c r="O1746" s="61"/>
      <c r="P1746" s="61"/>
      <c r="Q1746" s="61"/>
      <c r="R1746" s="61"/>
      <c r="S1746" s="61"/>
      <c r="T1746" s="61"/>
      <c r="U1746" s="61"/>
      <c r="V1746" s="61"/>
      <c r="W1746" s="61"/>
      <c r="X1746" s="61"/>
      <c r="Y1746" s="61"/>
      <c r="Z1746" s="61"/>
    </row>
    <row r="1747" ht="15.75" customHeight="1">
      <c r="A1747" s="61"/>
      <c r="B1747" s="61"/>
      <c r="C1747" s="61"/>
      <c r="D1747" s="61"/>
      <c r="E1747" s="61"/>
      <c r="F1747" s="61"/>
      <c r="G1747" s="61"/>
      <c r="H1747" s="63"/>
      <c r="I1747" s="61"/>
      <c r="J1747" s="61"/>
      <c r="K1747" s="61"/>
      <c r="L1747" s="61"/>
      <c r="M1747" s="61"/>
      <c r="N1747" s="61"/>
      <c r="O1747" s="61"/>
      <c r="P1747" s="61"/>
      <c r="Q1747" s="61"/>
      <c r="R1747" s="61"/>
      <c r="S1747" s="61"/>
      <c r="T1747" s="61"/>
      <c r="U1747" s="61"/>
      <c r="V1747" s="61"/>
      <c r="W1747" s="61"/>
      <c r="X1747" s="61"/>
      <c r="Y1747" s="61"/>
      <c r="Z1747" s="61"/>
    </row>
    <row r="1748" ht="15.75" customHeight="1">
      <c r="A1748" s="61"/>
      <c r="B1748" s="61"/>
      <c r="C1748" s="61"/>
      <c r="D1748" s="61"/>
      <c r="E1748" s="61"/>
      <c r="F1748" s="61"/>
      <c r="G1748" s="61"/>
      <c r="H1748" s="63"/>
      <c r="I1748" s="61"/>
      <c r="J1748" s="61"/>
      <c r="K1748" s="61"/>
      <c r="L1748" s="61"/>
      <c r="M1748" s="61"/>
      <c r="N1748" s="61"/>
      <c r="O1748" s="61"/>
      <c r="P1748" s="61"/>
      <c r="Q1748" s="61"/>
      <c r="R1748" s="61"/>
      <c r="S1748" s="61"/>
      <c r="T1748" s="61"/>
      <c r="U1748" s="61"/>
      <c r="V1748" s="61"/>
      <c r="W1748" s="61"/>
      <c r="X1748" s="61"/>
      <c r="Y1748" s="61"/>
      <c r="Z1748" s="61"/>
    </row>
    <row r="1749" ht="15.75" customHeight="1">
      <c r="A1749" s="61"/>
      <c r="B1749" s="61"/>
      <c r="C1749" s="61"/>
      <c r="D1749" s="61"/>
      <c r="E1749" s="61"/>
      <c r="F1749" s="61"/>
      <c r="G1749" s="61"/>
      <c r="H1749" s="63"/>
      <c r="I1749" s="61"/>
      <c r="J1749" s="61"/>
      <c r="K1749" s="61"/>
      <c r="L1749" s="61"/>
      <c r="M1749" s="61"/>
      <c r="N1749" s="61"/>
      <c r="O1749" s="61"/>
      <c r="P1749" s="61"/>
      <c r="Q1749" s="61"/>
      <c r="R1749" s="61"/>
      <c r="S1749" s="61"/>
      <c r="T1749" s="61"/>
      <c r="U1749" s="61"/>
      <c r="V1749" s="61"/>
      <c r="W1749" s="61"/>
      <c r="X1749" s="61"/>
      <c r="Y1749" s="61"/>
      <c r="Z1749" s="61"/>
    </row>
    <row r="1750" ht="15.75" customHeight="1">
      <c r="A1750" s="61"/>
      <c r="B1750" s="61"/>
      <c r="C1750" s="61"/>
      <c r="D1750" s="61"/>
      <c r="E1750" s="61"/>
      <c r="F1750" s="61"/>
      <c r="G1750" s="61"/>
      <c r="H1750" s="63"/>
      <c r="I1750" s="61"/>
      <c r="J1750" s="61"/>
      <c r="K1750" s="61"/>
      <c r="L1750" s="61"/>
      <c r="M1750" s="61"/>
      <c r="N1750" s="61"/>
      <c r="O1750" s="61"/>
      <c r="P1750" s="61"/>
      <c r="Q1750" s="61"/>
      <c r="R1750" s="61"/>
      <c r="S1750" s="61"/>
      <c r="T1750" s="61"/>
      <c r="U1750" s="61"/>
      <c r="V1750" s="61"/>
      <c r="W1750" s="61"/>
      <c r="X1750" s="61"/>
      <c r="Y1750" s="61"/>
      <c r="Z1750" s="61"/>
    </row>
    <row r="1751" ht="15.75" customHeight="1">
      <c r="A1751" s="61"/>
      <c r="B1751" s="61"/>
      <c r="C1751" s="61"/>
      <c r="D1751" s="61"/>
      <c r="E1751" s="61"/>
      <c r="F1751" s="61"/>
      <c r="G1751" s="61"/>
      <c r="H1751" s="63"/>
      <c r="I1751" s="61"/>
      <c r="J1751" s="61"/>
      <c r="K1751" s="61"/>
      <c r="L1751" s="61"/>
      <c r="M1751" s="61"/>
      <c r="N1751" s="61"/>
      <c r="O1751" s="61"/>
      <c r="P1751" s="61"/>
      <c r="Q1751" s="61"/>
      <c r="R1751" s="61"/>
      <c r="S1751" s="61"/>
      <c r="T1751" s="61"/>
      <c r="U1751" s="61"/>
      <c r="V1751" s="61"/>
      <c r="W1751" s="61"/>
      <c r="X1751" s="61"/>
      <c r="Y1751" s="61"/>
      <c r="Z1751" s="61"/>
    </row>
    <row r="1752" ht="15.75" customHeight="1">
      <c r="A1752" s="61"/>
      <c r="B1752" s="61"/>
      <c r="C1752" s="61"/>
      <c r="D1752" s="61"/>
      <c r="E1752" s="61"/>
      <c r="F1752" s="61"/>
      <c r="G1752" s="61"/>
      <c r="H1752" s="63"/>
      <c r="I1752" s="61"/>
      <c r="J1752" s="61"/>
      <c r="K1752" s="61"/>
      <c r="L1752" s="61"/>
      <c r="M1752" s="61"/>
      <c r="N1752" s="61"/>
      <c r="O1752" s="61"/>
      <c r="P1752" s="61"/>
      <c r="Q1752" s="61"/>
      <c r="R1752" s="61"/>
      <c r="S1752" s="61"/>
      <c r="T1752" s="61"/>
      <c r="U1752" s="61"/>
      <c r="V1752" s="61"/>
      <c r="W1752" s="61"/>
      <c r="X1752" s="61"/>
      <c r="Y1752" s="61"/>
      <c r="Z1752" s="61"/>
    </row>
    <row r="1753" ht="15.75" customHeight="1">
      <c r="A1753" s="61"/>
      <c r="B1753" s="61"/>
      <c r="C1753" s="61"/>
      <c r="D1753" s="61"/>
      <c r="E1753" s="61"/>
      <c r="F1753" s="61"/>
      <c r="G1753" s="61"/>
      <c r="H1753" s="63"/>
      <c r="I1753" s="61"/>
      <c r="J1753" s="61"/>
      <c r="K1753" s="61"/>
      <c r="L1753" s="61"/>
      <c r="M1753" s="61"/>
      <c r="N1753" s="61"/>
      <c r="O1753" s="61"/>
      <c r="P1753" s="61"/>
      <c r="Q1753" s="61"/>
      <c r="R1753" s="61"/>
      <c r="S1753" s="61"/>
      <c r="T1753" s="61"/>
      <c r="U1753" s="61"/>
      <c r="V1753" s="61"/>
      <c r="W1753" s="61"/>
      <c r="X1753" s="61"/>
      <c r="Y1753" s="61"/>
      <c r="Z1753" s="61"/>
    </row>
    <row r="1754" ht="15.75" customHeight="1">
      <c r="A1754" s="61"/>
      <c r="B1754" s="61"/>
      <c r="C1754" s="61"/>
      <c r="D1754" s="61"/>
      <c r="E1754" s="61"/>
      <c r="F1754" s="61"/>
      <c r="G1754" s="61"/>
      <c r="H1754" s="63"/>
      <c r="I1754" s="61"/>
      <c r="J1754" s="61"/>
      <c r="K1754" s="61"/>
      <c r="L1754" s="61"/>
      <c r="M1754" s="61"/>
      <c r="N1754" s="61"/>
      <c r="O1754" s="61"/>
      <c r="P1754" s="61"/>
      <c r="Q1754" s="61"/>
      <c r="R1754" s="61"/>
      <c r="S1754" s="61"/>
      <c r="T1754" s="61"/>
      <c r="U1754" s="61"/>
      <c r="V1754" s="61"/>
      <c r="W1754" s="61"/>
      <c r="X1754" s="61"/>
      <c r="Y1754" s="61"/>
      <c r="Z1754" s="61"/>
    </row>
    <row r="1755" ht="15.75" customHeight="1">
      <c r="A1755" s="61"/>
      <c r="B1755" s="61"/>
      <c r="C1755" s="61"/>
      <c r="D1755" s="61"/>
      <c r="E1755" s="61"/>
      <c r="F1755" s="61"/>
      <c r="G1755" s="61"/>
      <c r="H1755" s="63"/>
      <c r="I1755" s="61"/>
      <c r="J1755" s="61"/>
      <c r="K1755" s="61"/>
      <c r="L1755" s="61"/>
      <c r="M1755" s="61"/>
      <c r="N1755" s="61"/>
      <c r="O1755" s="61"/>
      <c r="P1755" s="61"/>
      <c r="Q1755" s="61"/>
      <c r="R1755" s="61"/>
      <c r="S1755" s="61"/>
      <c r="T1755" s="61"/>
      <c r="U1755" s="61"/>
      <c r="V1755" s="61"/>
      <c r="W1755" s="61"/>
      <c r="X1755" s="61"/>
      <c r="Y1755" s="61"/>
      <c r="Z1755" s="61"/>
    </row>
    <row r="1756" ht="15.75" customHeight="1">
      <c r="A1756" s="61"/>
      <c r="B1756" s="61"/>
      <c r="C1756" s="61"/>
      <c r="D1756" s="61"/>
      <c r="E1756" s="61"/>
      <c r="F1756" s="61"/>
      <c r="G1756" s="61"/>
      <c r="H1756" s="63"/>
      <c r="I1756" s="61"/>
      <c r="J1756" s="61"/>
      <c r="K1756" s="61"/>
      <c r="L1756" s="61"/>
      <c r="M1756" s="61"/>
      <c r="N1756" s="61"/>
      <c r="O1756" s="61"/>
      <c r="P1756" s="61"/>
      <c r="Q1756" s="61"/>
      <c r="R1756" s="61"/>
      <c r="S1756" s="61"/>
      <c r="T1756" s="61"/>
      <c r="U1756" s="61"/>
      <c r="V1756" s="61"/>
      <c r="W1756" s="61"/>
      <c r="X1756" s="61"/>
      <c r="Y1756" s="61"/>
      <c r="Z1756" s="61"/>
    </row>
    <row r="1757" ht="15.75" customHeight="1">
      <c r="A1757" s="61"/>
      <c r="B1757" s="61"/>
      <c r="C1757" s="61"/>
      <c r="D1757" s="61"/>
      <c r="E1757" s="61"/>
      <c r="F1757" s="61"/>
      <c r="G1757" s="61"/>
      <c r="H1757" s="63"/>
      <c r="I1757" s="61"/>
      <c r="J1757" s="61"/>
      <c r="K1757" s="61"/>
      <c r="L1757" s="61"/>
      <c r="M1757" s="61"/>
      <c r="N1757" s="61"/>
      <c r="O1757" s="61"/>
      <c r="P1757" s="61"/>
      <c r="Q1757" s="61"/>
      <c r="R1757" s="61"/>
      <c r="S1757" s="61"/>
      <c r="T1757" s="61"/>
      <c r="U1757" s="61"/>
      <c r="V1757" s="61"/>
      <c r="W1757" s="61"/>
      <c r="X1757" s="61"/>
      <c r="Y1757" s="61"/>
      <c r="Z1757" s="61"/>
    </row>
    <row r="1758" ht="15.75" customHeight="1">
      <c r="A1758" s="61"/>
      <c r="B1758" s="61"/>
      <c r="C1758" s="61"/>
      <c r="D1758" s="61"/>
      <c r="E1758" s="61"/>
      <c r="F1758" s="61"/>
      <c r="G1758" s="61"/>
      <c r="H1758" s="63"/>
      <c r="I1758" s="61"/>
      <c r="J1758" s="61"/>
      <c r="K1758" s="61"/>
      <c r="L1758" s="61"/>
      <c r="M1758" s="61"/>
      <c r="N1758" s="61"/>
      <c r="O1758" s="61"/>
      <c r="P1758" s="61"/>
      <c r="Q1758" s="61"/>
      <c r="R1758" s="61"/>
      <c r="S1758" s="61"/>
      <c r="T1758" s="61"/>
      <c r="U1758" s="61"/>
      <c r="V1758" s="61"/>
      <c r="W1758" s="61"/>
      <c r="X1758" s="61"/>
      <c r="Y1758" s="61"/>
      <c r="Z1758" s="61"/>
    </row>
    <row r="1759" ht="15.75" customHeight="1">
      <c r="A1759" s="61"/>
      <c r="B1759" s="61"/>
      <c r="C1759" s="61"/>
      <c r="D1759" s="61"/>
      <c r="E1759" s="61"/>
      <c r="F1759" s="61"/>
      <c r="G1759" s="61"/>
      <c r="H1759" s="63"/>
      <c r="I1759" s="61"/>
      <c r="J1759" s="61"/>
      <c r="K1759" s="61"/>
      <c r="L1759" s="61"/>
      <c r="M1759" s="61"/>
      <c r="N1759" s="61"/>
      <c r="O1759" s="61"/>
      <c r="P1759" s="61"/>
      <c r="Q1759" s="61"/>
      <c r="R1759" s="61"/>
      <c r="S1759" s="61"/>
      <c r="T1759" s="61"/>
      <c r="U1759" s="61"/>
      <c r="V1759" s="61"/>
      <c r="W1759" s="61"/>
      <c r="X1759" s="61"/>
      <c r="Y1759" s="61"/>
      <c r="Z1759" s="61"/>
    </row>
    <row r="1760" ht="15.75" customHeight="1">
      <c r="A1760" s="61"/>
      <c r="B1760" s="61"/>
      <c r="C1760" s="61"/>
      <c r="D1760" s="61"/>
      <c r="E1760" s="61"/>
      <c r="F1760" s="61"/>
      <c r="G1760" s="61"/>
      <c r="H1760" s="63"/>
      <c r="I1760" s="61"/>
      <c r="J1760" s="61"/>
      <c r="K1760" s="61"/>
      <c r="L1760" s="61"/>
      <c r="M1760" s="61"/>
      <c r="N1760" s="61"/>
      <c r="O1760" s="61"/>
      <c r="P1760" s="61"/>
      <c r="Q1760" s="61"/>
      <c r="R1760" s="61"/>
      <c r="S1760" s="61"/>
      <c r="T1760" s="61"/>
      <c r="U1760" s="61"/>
      <c r="V1760" s="61"/>
      <c r="W1760" s="61"/>
      <c r="X1760" s="61"/>
      <c r="Y1760" s="61"/>
      <c r="Z1760" s="61"/>
    </row>
    <row r="1761" ht="15.75" customHeight="1">
      <c r="A1761" s="61"/>
      <c r="B1761" s="61"/>
      <c r="C1761" s="61"/>
      <c r="D1761" s="61"/>
      <c r="E1761" s="61"/>
      <c r="F1761" s="61"/>
      <c r="G1761" s="61"/>
      <c r="H1761" s="63"/>
      <c r="I1761" s="61"/>
      <c r="J1761" s="61"/>
      <c r="K1761" s="61"/>
      <c r="L1761" s="61"/>
      <c r="M1761" s="61"/>
      <c r="N1761" s="61"/>
      <c r="O1761" s="61"/>
      <c r="P1761" s="61"/>
      <c r="Q1761" s="61"/>
      <c r="R1761" s="61"/>
      <c r="S1761" s="61"/>
      <c r="T1761" s="61"/>
      <c r="U1761" s="61"/>
      <c r="V1761" s="61"/>
      <c r="W1761" s="61"/>
      <c r="X1761" s="61"/>
      <c r="Y1761" s="61"/>
      <c r="Z1761" s="61"/>
    </row>
    <row r="1762" ht="15.75" customHeight="1">
      <c r="A1762" s="61"/>
      <c r="B1762" s="61"/>
      <c r="C1762" s="61"/>
      <c r="D1762" s="61"/>
      <c r="E1762" s="61"/>
      <c r="F1762" s="61"/>
      <c r="G1762" s="61"/>
      <c r="H1762" s="63"/>
      <c r="I1762" s="61"/>
      <c r="J1762" s="61"/>
      <c r="K1762" s="61"/>
      <c r="L1762" s="61"/>
      <c r="M1762" s="61"/>
      <c r="N1762" s="61"/>
      <c r="O1762" s="61"/>
      <c r="P1762" s="61"/>
      <c r="Q1762" s="61"/>
      <c r="R1762" s="61"/>
      <c r="S1762" s="61"/>
      <c r="T1762" s="61"/>
      <c r="U1762" s="61"/>
      <c r="V1762" s="61"/>
      <c r="W1762" s="61"/>
      <c r="X1762" s="61"/>
      <c r="Y1762" s="61"/>
      <c r="Z1762" s="61"/>
    </row>
    <row r="1763" ht="15.75" customHeight="1">
      <c r="A1763" s="61"/>
      <c r="B1763" s="61"/>
      <c r="C1763" s="61"/>
      <c r="D1763" s="61"/>
      <c r="E1763" s="61"/>
      <c r="F1763" s="61"/>
      <c r="G1763" s="61"/>
      <c r="H1763" s="63"/>
      <c r="I1763" s="61"/>
      <c r="J1763" s="61"/>
      <c r="K1763" s="61"/>
      <c r="L1763" s="61"/>
      <c r="M1763" s="61"/>
      <c r="N1763" s="61"/>
      <c r="O1763" s="61"/>
      <c r="P1763" s="61"/>
      <c r="Q1763" s="61"/>
      <c r="R1763" s="61"/>
      <c r="S1763" s="61"/>
      <c r="T1763" s="61"/>
      <c r="U1763" s="61"/>
      <c r="V1763" s="61"/>
      <c r="W1763" s="61"/>
      <c r="X1763" s="61"/>
      <c r="Y1763" s="61"/>
      <c r="Z1763" s="61"/>
    </row>
    <row r="1764" ht="15.75" customHeight="1">
      <c r="A1764" s="61"/>
      <c r="B1764" s="61"/>
      <c r="C1764" s="61"/>
      <c r="D1764" s="61"/>
      <c r="E1764" s="61"/>
      <c r="F1764" s="61"/>
      <c r="G1764" s="61"/>
      <c r="H1764" s="63"/>
      <c r="I1764" s="61"/>
      <c r="J1764" s="61"/>
      <c r="K1764" s="61"/>
      <c r="L1764" s="61"/>
      <c r="M1764" s="61"/>
      <c r="N1764" s="61"/>
      <c r="O1764" s="61"/>
      <c r="P1764" s="61"/>
      <c r="Q1764" s="61"/>
      <c r="R1764" s="61"/>
      <c r="S1764" s="61"/>
      <c r="T1764" s="61"/>
      <c r="U1764" s="61"/>
      <c r="V1764" s="61"/>
      <c r="W1764" s="61"/>
      <c r="X1764" s="61"/>
      <c r="Y1764" s="61"/>
      <c r="Z1764" s="61"/>
    </row>
    <row r="1765" ht="15.75" customHeight="1">
      <c r="A1765" s="61"/>
      <c r="B1765" s="61"/>
      <c r="C1765" s="61"/>
      <c r="D1765" s="61"/>
      <c r="E1765" s="61"/>
      <c r="F1765" s="61"/>
      <c r="G1765" s="61"/>
      <c r="H1765" s="63"/>
      <c r="I1765" s="61"/>
      <c r="J1765" s="61"/>
      <c r="K1765" s="61"/>
      <c r="L1765" s="61"/>
      <c r="M1765" s="61"/>
      <c r="N1765" s="61"/>
      <c r="O1765" s="61"/>
      <c r="P1765" s="61"/>
      <c r="Q1765" s="61"/>
      <c r="R1765" s="61"/>
      <c r="S1765" s="61"/>
      <c r="T1765" s="61"/>
      <c r="U1765" s="61"/>
      <c r="V1765" s="61"/>
      <c r="W1765" s="61"/>
      <c r="X1765" s="61"/>
      <c r="Y1765" s="61"/>
      <c r="Z1765" s="61"/>
    </row>
    <row r="1766" ht="15.75" customHeight="1">
      <c r="A1766" s="61"/>
      <c r="B1766" s="61"/>
      <c r="C1766" s="61"/>
      <c r="D1766" s="61"/>
      <c r="E1766" s="61"/>
      <c r="F1766" s="61"/>
      <c r="G1766" s="61"/>
      <c r="H1766" s="63"/>
      <c r="I1766" s="61"/>
      <c r="J1766" s="61"/>
      <c r="K1766" s="61"/>
      <c r="L1766" s="61"/>
      <c r="M1766" s="61"/>
      <c r="N1766" s="61"/>
      <c r="O1766" s="61"/>
      <c r="P1766" s="61"/>
      <c r="Q1766" s="61"/>
      <c r="R1766" s="61"/>
      <c r="S1766" s="61"/>
      <c r="T1766" s="61"/>
      <c r="U1766" s="61"/>
      <c r="V1766" s="61"/>
      <c r="W1766" s="61"/>
      <c r="X1766" s="61"/>
      <c r="Y1766" s="61"/>
      <c r="Z1766" s="61"/>
    </row>
    <row r="1767" ht="15.75" customHeight="1">
      <c r="A1767" s="61"/>
      <c r="B1767" s="61"/>
      <c r="C1767" s="61"/>
      <c r="D1767" s="61"/>
      <c r="E1767" s="61"/>
      <c r="F1767" s="61"/>
      <c r="G1767" s="61"/>
      <c r="H1767" s="63"/>
      <c r="I1767" s="61"/>
      <c r="J1767" s="61"/>
      <c r="K1767" s="61"/>
      <c r="L1767" s="61"/>
      <c r="M1767" s="61"/>
      <c r="N1767" s="61"/>
      <c r="O1767" s="61"/>
      <c r="P1767" s="61"/>
      <c r="Q1767" s="61"/>
      <c r="R1767" s="61"/>
      <c r="S1767" s="61"/>
      <c r="T1767" s="61"/>
      <c r="U1767" s="61"/>
      <c r="V1767" s="61"/>
      <c r="W1767" s="61"/>
      <c r="X1767" s="61"/>
      <c r="Y1767" s="61"/>
      <c r="Z1767" s="61"/>
    </row>
    <row r="1768" ht="15.75" customHeight="1">
      <c r="A1768" s="61"/>
      <c r="B1768" s="61"/>
      <c r="C1768" s="61"/>
      <c r="D1768" s="61"/>
      <c r="E1768" s="61"/>
      <c r="F1768" s="61"/>
      <c r="G1768" s="61"/>
      <c r="H1768" s="63"/>
      <c r="I1768" s="61"/>
      <c r="J1768" s="61"/>
      <c r="K1768" s="61"/>
      <c r="L1768" s="61"/>
      <c r="M1768" s="61"/>
      <c r="N1768" s="61"/>
      <c r="O1768" s="61"/>
      <c r="P1768" s="61"/>
      <c r="Q1768" s="61"/>
      <c r="R1768" s="61"/>
      <c r="S1768" s="61"/>
      <c r="T1768" s="61"/>
      <c r="U1768" s="61"/>
      <c r="V1768" s="61"/>
      <c r="W1768" s="61"/>
      <c r="X1768" s="61"/>
      <c r="Y1768" s="61"/>
      <c r="Z1768" s="61"/>
    </row>
    <row r="1769" ht="15.75" customHeight="1">
      <c r="A1769" s="61"/>
      <c r="B1769" s="61"/>
      <c r="C1769" s="61"/>
      <c r="D1769" s="61"/>
      <c r="E1769" s="61"/>
      <c r="F1769" s="61"/>
      <c r="G1769" s="61"/>
      <c r="H1769" s="63"/>
      <c r="I1769" s="61"/>
      <c r="J1769" s="61"/>
      <c r="K1769" s="61"/>
      <c r="L1769" s="61"/>
      <c r="M1769" s="61"/>
      <c r="N1769" s="61"/>
      <c r="O1769" s="61"/>
      <c r="P1769" s="61"/>
      <c r="Q1769" s="61"/>
      <c r="R1769" s="61"/>
      <c r="S1769" s="61"/>
      <c r="T1769" s="61"/>
      <c r="U1769" s="61"/>
      <c r="V1769" s="61"/>
      <c r="W1769" s="61"/>
      <c r="X1769" s="61"/>
      <c r="Y1769" s="61"/>
      <c r="Z1769" s="61"/>
    </row>
    <row r="1770" ht="15.75" customHeight="1">
      <c r="A1770" s="61"/>
      <c r="B1770" s="61"/>
      <c r="C1770" s="61"/>
      <c r="D1770" s="61"/>
      <c r="E1770" s="61"/>
      <c r="F1770" s="61"/>
      <c r="G1770" s="61"/>
      <c r="H1770" s="63"/>
      <c r="I1770" s="61"/>
      <c r="J1770" s="61"/>
      <c r="K1770" s="61"/>
      <c r="L1770" s="61"/>
      <c r="M1770" s="61"/>
      <c r="N1770" s="61"/>
      <c r="O1770" s="61"/>
      <c r="P1770" s="61"/>
      <c r="Q1770" s="61"/>
      <c r="R1770" s="61"/>
      <c r="S1770" s="61"/>
      <c r="T1770" s="61"/>
      <c r="U1770" s="61"/>
      <c r="V1770" s="61"/>
      <c r="W1770" s="61"/>
      <c r="X1770" s="61"/>
      <c r="Y1770" s="61"/>
      <c r="Z1770" s="61"/>
    </row>
    <row r="1771" ht="15.75" customHeight="1">
      <c r="A1771" s="61"/>
      <c r="B1771" s="61"/>
      <c r="C1771" s="61"/>
      <c r="D1771" s="61"/>
      <c r="E1771" s="61"/>
      <c r="F1771" s="61"/>
      <c r="G1771" s="61"/>
      <c r="H1771" s="63"/>
      <c r="I1771" s="61"/>
      <c r="J1771" s="61"/>
      <c r="K1771" s="61"/>
      <c r="L1771" s="61"/>
      <c r="M1771" s="61"/>
      <c r="N1771" s="61"/>
      <c r="O1771" s="61"/>
      <c r="P1771" s="61"/>
      <c r="Q1771" s="61"/>
      <c r="R1771" s="61"/>
      <c r="S1771" s="61"/>
      <c r="T1771" s="61"/>
      <c r="U1771" s="61"/>
      <c r="V1771" s="61"/>
      <c r="W1771" s="61"/>
      <c r="X1771" s="61"/>
      <c r="Y1771" s="61"/>
      <c r="Z1771" s="61"/>
    </row>
    <row r="1772" ht="15.75" customHeight="1">
      <c r="A1772" s="61"/>
      <c r="B1772" s="61"/>
      <c r="C1772" s="61"/>
      <c r="D1772" s="61"/>
      <c r="E1772" s="61"/>
      <c r="F1772" s="61"/>
      <c r="G1772" s="61"/>
      <c r="H1772" s="63"/>
      <c r="I1772" s="61"/>
      <c r="J1772" s="61"/>
      <c r="K1772" s="61"/>
      <c r="L1772" s="61"/>
      <c r="M1772" s="61"/>
      <c r="N1772" s="61"/>
      <c r="O1772" s="61"/>
      <c r="P1772" s="61"/>
      <c r="Q1772" s="61"/>
      <c r="R1772" s="61"/>
      <c r="S1772" s="61"/>
      <c r="T1772" s="61"/>
      <c r="U1772" s="61"/>
      <c r="V1772" s="61"/>
      <c r="W1772" s="61"/>
      <c r="X1772" s="61"/>
      <c r="Y1772" s="61"/>
      <c r="Z1772" s="61"/>
    </row>
    <row r="1773" ht="15.75" customHeight="1">
      <c r="A1773" s="61"/>
      <c r="B1773" s="61"/>
      <c r="C1773" s="61"/>
      <c r="D1773" s="61"/>
      <c r="E1773" s="61"/>
      <c r="F1773" s="61"/>
      <c r="G1773" s="61"/>
      <c r="H1773" s="63"/>
      <c r="I1773" s="61"/>
      <c r="J1773" s="61"/>
      <c r="K1773" s="61"/>
      <c r="L1773" s="61"/>
      <c r="M1773" s="61"/>
      <c r="N1773" s="61"/>
      <c r="O1773" s="61"/>
      <c r="P1773" s="61"/>
      <c r="Q1773" s="61"/>
      <c r="R1773" s="61"/>
      <c r="S1773" s="61"/>
      <c r="T1773" s="61"/>
      <c r="U1773" s="61"/>
      <c r="V1773" s="61"/>
      <c r="W1773" s="61"/>
      <c r="X1773" s="61"/>
      <c r="Y1773" s="61"/>
      <c r="Z1773" s="61"/>
    </row>
    <row r="1774" ht="15.75" customHeight="1">
      <c r="A1774" s="61"/>
      <c r="B1774" s="61"/>
      <c r="C1774" s="61"/>
      <c r="D1774" s="61"/>
      <c r="E1774" s="61"/>
      <c r="F1774" s="61"/>
      <c r="G1774" s="61"/>
      <c r="H1774" s="63"/>
      <c r="I1774" s="61"/>
      <c r="J1774" s="61"/>
      <c r="K1774" s="61"/>
      <c r="L1774" s="61"/>
      <c r="M1774" s="61"/>
      <c r="N1774" s="61"/>
      <c r="O1774" s="61"/>
      <c r="P1774" s="61"/>
      <c r="Q1774" s="61"/>
      <c r="R1774" s="61"/>
      <c r="S1774" s="61"/>
      <c r="T1774" s="61"/>
      <c r="U1774" s="61"/>
      <c r="V1774" s="61"/>
      <c r="W1774" s="61"/>
      <c r="X1774" s="61"/>
      <c r="Y1774" s="61"/>
      <c r="Z1774" s="61"/>
    </row>
    <row r="1775" ht="15.75" customHeight="1">
      <c r="A1775" s="61"/>
      <c r="B1775" s="61"/>
      <c r="C1775" s="61"/>
      <c r="D1775" s="61"/>
      <c r="E1775" s="61"/>
      <c r="F1775" s="61"/>
      <c r="G1775" s="61"/>
      <c r="H1775" s="63"/>
      <c r="I1775" s="61"/>
      <c r="J1775" s="61"/>
      <c r="K1775" s="61"/>
      <c r="L1775" s="61"/>
      <c r="M1775" s="61"/>
      <c r="N1775" s="61"/>
      <c r="O1775" s="61"/>
      <c r="P1775" s="61"/>
      <c r="Q1775" s="61"/>
      <c r="R1775" s="61"/>
      <c r="S1775" s="61"/>
      <c r="T1775" s="61"/>
      <c r="U1775" s="61"/>
      <c r="V1775" s="61"/>
      <c r="W1775" s="61"/>
      <c r="X1775" s="61"/>
      <c r="Y1775" s="61"/>
      <c r="Z1775" s="61"/>
    </row>
    <row r="1776" ht="15.75" customHeight="1">
      <c r="A1776" s="61"/>
      <c r="B1776" s="61"/>
      <c r="C1776" s="61"/>
      <c r="D1776" s="61"/>
      <c r="E1776" s="61"/>
      <c r="F1776" s="61"/>
      <c r="G1776" s="61"/>
      <c r="H1776" s="63"/>
      <c r="I1776" s="61"/>
      <c r="J1776" s="61"/>
      <c r="K1776" s="61"/>
      <c r="L1776" s="61"/>
      <c r="M1776" s="61"/>
      <c r="N1776" s="61"/>
      <c r="O1776" s="61"/>
      <c r="P1776" s="61"/>
      <c r="Q1776" s="61"/>
      <c r="R1776" s="61"/>
      <c r="S1776" s="61"/>
      <c r="T1776" s="61"/>
      <c r="U1776" s="61"/>
      <c r="V1776" s="61"/>
      <c r="W1776" s="61"/>
      <c r="X1776" s="61"/>
      <c r="Y1776" s="61"/>
      <c r="Z1776" s="61"/>
    </row>
    <row r="1777" ht="15.75" customHeight="1">
      <c r="A1777" s="61"/>
      <c r="B1777" s="61"/>
      <c r="C1777" s="61"/>
      <c r="D1777" s="61"/>
      <c r="E1777" s="61"/>
      <c r="F1777" s="61"/>
      <c r="G1777" s="61"/>
      <c r="H1777" s="63"/>
      <c r="I1777" s="61"/>
      <c r="J1777" s="61"/>
      <c r="K1777" s="61"/>
      <c r="L1777" s="61"/>
      <c r="M1777" s="61"/>
      <c r="N1777" s="61"/>
      <c r="O1777" s="61"/>
      <c r="P1777" s="61"/>
      <c r="Q1777" s="61"/>
      <c r="R1777" s="61"/>
      <c r="S1777" s="61"/>
      <c r="T1777" s="61"/>
      <c r="U1777" s="61"/>
      <c r="V1777" s="61"/>
      <c r="W1777" s="61"/>
      <c r="X1777" s="61"/>
      <c r="Y1777" s="61"/>
      <c r="Z1777" s="61"/>
    </row>
    <row r="1778" ht="15.75" customHeight="1">
      <c r="A1778" s="61"/>
      <c r="B1778" s="61"/>
      <c r="C1778" s="61"/>
      <c r="D1778" s="61"/>
      <c r="E1778" s="61"/>
      <c r="F1778" s="61"/>
      <c r="G1778" s="61"/>
      <c r="H1778" s="63"/>
      <c r="I1778" s="61"/>
      <c r="J1778" s="61"/>
      <c r="K1778" s="61"/>
      <c r="L1778" s="61"/>
      <c r="M1778" s="61"/>
      <c r="N1778" s="61"/>
      <c r="O1778" s="61"/>
      <c r="P1778" s="61"/>
      <c r="Q1778" s="61"/>
      <c r="R1778" s="61"/>
      <c r="S1778" s="61"/>
      <c r="T1778" s="61"/>
      <c r="U1778" s="61"/>
      <c r="V1778" s="61"/>
      <c r="W1778" s="61"/>
      <c r="X1778" s="61"/>
      <c r="Y1778" s="61"/>
      <c r="Z1778" s="61"/>
    </row>
    <row r="1779" ht="15.75" customHeight="1">
      <c r="A1779" s="61"/>
      <c r="B1779" s="61"/>
      <c r="C1779" s="61"/>
      <c r="D1779" s="61"/>
      <c r="E1779" s="61"/>
      <c r="F1779" s="61"/>
      <c r="G1779" s="61"/>
      <c r="H1779" s="63"/>
      <c r="I1779" s="61"/>
      <c r="J1779" s="61"/>
      <c r="K1779" s="61"/>
      <c r="L1779" s="61"/>
      <c r="M1779" s="61"/>
      <c r="N1779" s="61"/>
      <c r="O1779" s="61"/>
      <c r="P1779" s="61"/>
      <c r="Q1779" s="61"/>
      <c r="R1779" s="61"/>
      <c r="S1779" s="61"/>
      <c r="T1779" s="61"/>
      <c r="U1779" s="61"/>
      <c r="V1779" s="61"/>
      <c r="W1779" s="61"/>
      <c r="X1779" s="61"/>
      <c r="Y1779" s="61"/>
      <c r="Z1779" s="61"/>
    </row>
    <row r="1780" ht="15.75" customHeight="1">
      <c r="A1780" s="61"/>
      <c r="B1780" s="61"/>
      <c r="C1780" s="61"/>
      <c r="D1780" s="61"/>
      <c r="E1780" s="61"/>
      <c r="F1780" s="61"/>
      <c r="G1780" s="61"/>
      <c r="H1780" s="63"/>
      <c r="I1780" s="61"/>
      <c r="J1780" s="61"/>
      <c r="K1780" s="61"/>
      <c r="L1780" s="61"/>
      <c r="M1780" s="61"/>
      <c r="N1780" s="61"/>
      <c r="O1780" s="61"/>
      <c r="P1780" s="61"/>
      <c r="Q1780" s="61"/>
      <c r="R1780" s="61"/>
      <c r="S1780" s="61"/>
      <c r="T1780" s="61"/>
      <c r="U1780" s="61"/>
      <c r="V1780" s="61"/>
      <c r="W1780" s="61"/>
      <c r="X1780" s="61"/>
      <c r="Y1780" s="61"/>
      <c r="Z1780" s="61"/>
    </row>
    <row r="1781" ht="15.75" customHeight="1">
      <c r="A1781" s="61"/>
      <c r="B1781" s="61"/>
      <c r="C1781" s="61"/>
      <c r="D1781" s="61"/>
      <c r="E1781" s="61"/>
      <c r="F1781" s="61"/>
      <c r="G1781" s="61"/>
      <c r="H1781" s="63"/>
      <c r="I1781" s="61"/>
      <c r="J1781" s="61"/>
      <c r="K1781" s="61"/>
      <c r="L1781" s="61"/>
      <c r="M1781" s="61"/>
      <c r="N1781" s="61"/>
      <c r="O1781" s="61"/>
      <c r="P1781" s="61"/>
      <c r="Q1781" s="61"/>
      <c r="R1781" s="61"/>
      <c r="S1781" s="61"/>
      <c r="T1781" s="61"/>
      <c r="U1781" s="61"/>
      <c r="V1781" s="61"/>
      <c r="W1781" s="61"/>
      <c r="X1781" s="61"/>
      <c r="Y1781" s="61"/>
      <c r="Z1781" s="61"/>
    </row>
    <row r="1782" ht="15.75" customHeight="1">
      <c r="A1782" s="61"/>
      <c r="B1782" s="61"/>
      <c r="C1782" s="61"/>
      <c r="D1782" s="61"/>
      <c r="E1782" s="61"/>
      <c r="F1782" s="61"/>
      <c r="G1782" s="61"/>
      <c r="H1782" s="63"/>
      <c r="I1782" s="61"/>
      <c r="J1782" s="61"/>
      <c r="K1782" s="61"/>
      <c r="L1782" s="61"/>
      <c r="M1782" s="61"/>
      <c r="N1782" s="61"/>
      <c r="O1782" s="61"/>
      <c r="P1782" s="61"/>
      <c r="Q1782" s="61"/>
      <c r="R1782" s="61"/>
      <c r="S1782" s="61"/>
      <c r="T1782" s="61"/>
      <c r="U1782" s="61"/>
      <c r="V1782" s="61"/>
      <c r="W1782" s="61"/>
      <c r="X1782" s="61"/>
      <c r="Y1782" s="61"/>
      <c r="Z1782" s="61"/>
    </row>
    <row r="1783" ht="15.75" customHeight="1">
      <c r="A1783" s="61"/>
      <c r="B1783" s="61"/>
      <c r="C1783" s="61"/>
      <c r="D1783" s="61"/>
      <c r="E1783" s="61"/>
      <c r="F1783" s="61"/>
      <c r="G1783" s="61"/>
      <c r="H1783" s="63"/>
      <c r="I1783" s="61"/>
      <c r="J1783" s="61"/>
      <c r="K1783" s="61"/>
      <c r="L1783" s="61"/>
      <c r="M1783" s="61"/>
      <c r="N1783" s="61"/>
      <c r="O1783" s="61"/>
      <c r="P1783" s="61"/>
      <c r="Q1783" s="61"/>
      <c r="R1783" s="61"/>
      <c r="S1783" s="61"/>
      <c r="T1783" s="61"/>
      <c r="U1783" s="61"/>
      <c r="V1783" s="61"/>
      <c r="W1783" s="61"/>
      <c r="X1783" s="61"/>
      <c r="Y1783" s="61"/>
      <c r="Z1783" s="61"/>
    </row>
    <row r="1784" ht="15.75" customHeight="1">
      <c r="A1784" s="61"/>
      <c r="B1784" s="61"/>
      <c r="C1784" s="61"/>
      <c r="D1784" s="61"/>
      <c r="E1784" s="61"/>
      <c r="F1784" s="61"/>
      <c r="G1784" s="61"/>
      <c r="H1784" s="63"/>
      <c r="I1784" s="61"/>
      <c r="J1784" s="61"/>
      <c r="K1784" s="61"/>
      <c r="L1784" s="61"/>
      <c r="M1784" s="61"/>
      <c r="N1784" s="61"/>
      <c r="O1784" s="61"/>
      <c r="P1784" s="61"/>
      <c r="Q1784" s="61"/>
      <c r="R1784" s="61"/>
      <c r="S1784" s="61"/>
      <c r="T1784" s="61"/>
      <c r="U1784" s="61"/>
      <c r="V1784" s="61"/>
      <c r="W1784" s="61"/>
      <c r="X1784" s="61"/>
      <c r="Y1784" s="61"/>
      <c r="Z1784" s="61"/>
    </row>
    <row r="1785" ht="15.75" customHeight="1">
      <c r="A1785" s="61"/>
      <c r="B1785" s="61"/>
      <c r="C1785" s="61"/>
      <c r="D1785" s="61"/>
      <c r="E1785" s="61"/>
      <c r="F1785" s="61"/>
      <c r="G1785" s="61"/>
      <c r="H1785" s="63"/>
      <c r="I1785" s="61"/>
      <c r="J1785" s="61"/>
      <c r="K1785" s="61"/>
      <c r="L1785" s="61"/>
      <c r="M1785" s="61"/>
      <c r="N1785" s="61"/>
      <c r="O1785" s="61"/>
      <c r="P1785" s="61"/>
      <c r="Q1785" s="61"/>
      <c r="R1785" s="61"/>
      <c r="S1785" s="61"/>
      <c r="T1785" s="61"/>
      <c r="U1785" s="61"/>
      <c r="V1785" s="61"/>
      <c r="W1785" s="61"/>
      <c r="X1785" s="61"/>
      <c r="Y1785" s="61"/>
      <c r="Z1785" s="61"/>
    </row>
    <row r="1786" ht="15.75" customHeight="1">
      <c r="A1786" s="61"/>
      <c r="B1786" s="61"/>
      <c r="C1786" s="61"/>
      <c r="D1786" s="61"/>
      <c r="E1786" s="61"/>
      <c r="F1786" s="61"/>
      <c r="G1786" s="61"/>
      <c r="H1786" s="63"/>
      <c r="I1786" s="61"/>
      <c r="J1786" s="61"/>
      <c r="K1786" s="61"/>
      <c r="L1786" s="61"/>
      <c r="M1786" s="61"/>
      <c r="N1786" s="61"/>
      <c r="O1786" s="61"/>
      <c r="P1786" s="61"/>
      <c r="Q1786" s="61"/>
      <c r="R1786" s="61"/>
      <c r="S1786" s="61"/>
      <c r="T1786" s="61"/>
      <c r="U1786" s="61"/>
      <c r="V1786" s="61"/>
      <c r="W1786" s="61"/>
      <c r="X1786" s="61"/>
      <c r="Y1786" s="61"/>
      <c r="Z1786" s="61"/>
    </row>
    <row r="1787" ht="15.75" customHeight="1">
      <c r="A1787" s="61"/>
      <c r="B1787" s="61"/>
      <c r="C1787" s="61"/>
      <c r="D1787" s="61"/>
      <c r="E1787" s="61"/>
      <c r="F1787" s="61"/>
      <c r="G1787" s="61"/>
      <c r="H1787" s="63"/>
      <c r="I1787" s="61"/>
      <c r="J1787" s="61"/>
      <c r="K1787" s="61"/>
      <c r="L1787" s="61"/>
      <c r="M1787" s="61"/>
      <c r="N1787" s="61"/>
      <c r="O1787" s="61"/>
      <c r="P1787" s="61"/>
      <c r="Q1787" s="61"/>
      <c r="R1787" s="61"/>
      <c r="S1787" s="61"/>
      <c r="T1787" s="61"/>
      <c r="U1787" s="61"/>
      <c r="V1787" s="61"/>
      <c r="W1787" s="61"/>
      <c r="X1787" s="61"/>
      <c r="Y1787" s="61"/>
      <c r="Z1787" s="61"/>
    </row>
    <row r="1788" ht="15.75" customHeight="1">
      <c r="A1788" s="61"/>
      <c r="B1788" s="61"/>
      <c r="C1788" s="61"/>
      <c r="D1788" s="61"/>
      <c r="E1788" s="61"/>
      <c r="F1788" s="61"/>
      <c r="G1788" s="61"/>
      <c r="H1788" s="63"/>
      <c r="I1788" s="61"/>
      <c r="J1788" s="61"/>
      <c r="K1788" s="61"/>
      <c r="L1788" s="61"/>
      <c r="M1788" s="61"/>
      <c r="N1788" s="61"/>
      <c r="O1788" s="61"/>
      <c r="P1788" s="61"/>
      <c r="Q1788" s="61"/>
      <c r="R1788" s="61"/>
      <c r="S1788" s="61"/>
      <c r="T1788" s="61"/>
      <c r="U1788" s="61"/>
      <c r="V1788" s="61"/>
      <c r="W1788" s="61"/>
      <c r="X1788" s="61"/>
      <c r="Y1788" s="61"/>
      <c r="Z1788" s="61"/>
    </row>
    <row r="1789" ht="15.75" customHeight="1">
      <c r="A1789" s="61"/>
      <c r="B1789" s="61"/>
      <c r="C1789" s="61"/>
      <c r="D1789" s="61"/>
      <c r="E1789" s="61"/>
      <c r="F1789" s="61"/>
      <c r="G1789" s="61"/>
      <c r="H1789" s="63"/>
      <c r="I1789" s="61"/>
      <c r="J1789" s="61"/>
      <c r="K1789" s="61"/>
      <c r="L1789" s="61"/>
      <c r="M1789" s="61"/>
      <c r="N1789" s="61"/>
      <c r="O1789" s="61"/>
      <c r="P1789" s="61"/>
      <c r="Q1789" s="61"/>
      <c r="R1789" s="61"/>
      <c r="S1789" s="61"/>
      <c r="T1789" s="61"/>
      <c r="U1789" s="61"/>
      <c r="V1789" s="61"/>
      <c r="W1789" s="61"/>
      <c r="X1789" s="61"/>
      <c r="Y1789" s="61"/>
      <c r="Z1789" s="61"/>
    </row>
    <row r="1790" ht="15.75" customHeight="1">
      <c r="A1790" s="61"/>
      <c r="B1790" s="61"/>
      <c r="C1790" s="61"/>
      <c r="D1790" s="61"/>
      <c r="E1790" s="61"/>
      <c r="F1790" s="61"/>
      <c r="G1790" s="61"/>
      <c r="H1790" s="63"/>
      <c r="I1790" s="61"/>
      <c r="J1790" s="61"/>
      <c r="K1790" s="61"/>
      <c r="L1790" s="61"/>
      <c r="M1790" s="61"/>
      <c r="N1790" s="61"/>
      <c r="O1790" s="61"/>
      <c r="P1790" s="61"/>
      <c r="Q1790" s="61"/>
      <c r="R1790" s="61"/>
      <c r="S1790" s="61"/>
      <c r="T1790" s="61"/>
      <c r="U1790" s="61"/>
      <c r="V1790" s="61"/>
      <c r="W1790" s="61"/>
      <c r="X1790" s="61"/>
      <c r="Y1790" s="61"/>
      <c r="Z1790" s="61"/>
    </row>
    <row r="1791" ht="15.75" customHeight="1">
      <c r="A1791" s="61"/>
      <c r="B1791" s="61"/>
      <c r="C1791" s="61"/>
      <c r="D1791" s="61"/>
      <c r="E1791" s="61"/>
      <c r="F1791" s="61"/>
      <c r="G1791" s="61"/>
      <c r="H1791" s="63"/>
      <c r="I1791" s="61"/>
      <c r="J1791" s="61"/>
      <c r="K1791" s="61"/>
      <c r="L1791" s="61"/>
      <c r="M1791" s="61"/>
      <c r="N1791" s="61"/>
      <c r="O1791" s="61"/>
      <c r="P1791" s="61"/>
      <c r="Q1791" s="61"/>
      <c r="R1791" s="61"/>
      <c r="S1791" s="61"/>
      <c r="T1791" s="61"/>
      <c r="U1791" s="61"/>
      <c r="V1791" s="61"/>
      <c r="W1791" s="61"/>
      <c r="X1791" s="61"/>
      <c r="Y1791" s="61"/>
      <c r="Z1791" s="61"/>
    </row>
    <row r="1792" ht="15.75" customHeight="1">
      <c r="A1792" s="61"/>
      <c r="B1792" s="61"/>
      <c r="C1792" s="61"/>
      <c r="D1792" s="61"/>
      <c r="E1792" s="61"/>
      <c r="F1792" s="61"/>
      <c r="G1792" s="61"/>
      <c r="H1792" s="63"/>
      <c r="I1792" s="61"/>
      <c r="J1792" s="61"/>
      <c r="K1792" s="61"/>
      <c r="L1792" s="61"/>
      <c r="M1792" s="61"/>
      <c r="N1792" s="61"/>
      <c r="O1792" s="61"/>
      <c r="P1792" s="61"/>
      <c r="Q1792" s="61"/>
      <c r="R1792" s="61"/>
      <c r="S1792" s="61"/>
      <c r="T1792" s="61"/>
      <c r="U1792" s="61"/>
      <c r="V1792" s="61"/>
      <c r="W1792" s="61"/>
      <c r="X1792" s="61"/>
      <c r="Y1792" s="61"/>
      <c r="Z1792" s="61"/>
    </row>
    <row r="1793" ht="15.75" customHeight="1">
      <c r="A1793" s="61"/>
      <c r="B1793" s="61"/>
      <c r="C1793" s="61"/>
      <c r="D1793" s="61"/>
      <c r="E1793" s="61"/>
      <c r="F1793" s="61"/>
      <c r="G1793" s="61"/>
      <c r="H1793" s="63"/>
      <c r="I1793" s="61"/>
      <c r="J1793" s="61"/>
      <c r="K1793" s="61"/>
      <c r="L1793" s="61"/>
      <c r="M1793" s="61"/>
      <c r="N1793" s="61"/>
      <c r="O1793" s="61"/>
      <c r="P1793" s="61"/>
      <c r="Q1793" s="61"/>
      <c r="R1793" s="61"/>
      <c r="S1793" s="61"/>
      <c r="T1793" s="61"/>
      <c r="U1793" s="61"/>
      <c r="V1793" s="61"/>
      <c r="W1793" s="61"/>
      <c r="X1793" s="61"/>
      <c r="Y1793" s="61"/>
      <c r="Z1793" s="61"/>
    </row>
    <row r="1794" ht="15.75" customHeight="1">
      <c r="A1794" s="61"/>
      <c r="B1794" s="61"/>
      <c r="C1794" s="61"/>
      <c r="D1794" s="61"/>
      <c r="E1794" s="61"/>
      <c r="F1794" s="61"/>
      <c r="G1794" s="61"/>
      <c r="H1794" s="63"/>
      <c r="I1794" s="61"/>
      <c r="J1794" s="61"/>
      <c r="K1794" s="61"/>
      <c r="L1794" s="61"/>
      <c r="M1794" s="61"/>
      <c r="N1794" s="61"/>
      <c r="O1794" s="61"/>
      <c r="P1794" s="61"/>
      <c r="Q1794" s="61"/>
      <c r="R1794" s="61"/>
      <c r="S1794" s="61"/>
      <c r="T1794" s="61"/>
      <c r="U1794" s="61"/>
      <c r="V1794" s="61"/>
      <c r="W1794" s="61"/>
      <c r="X1794" s="61"/>
      <c r="Y1794" s="61"/>
      <c r="Z1794" s="61"/>
    </row>
    <row r="1795" ht="15.75" customHeight="1">
      <c r="A1795" s="61"/>
      <c r="B1795" s="61"/>
      <c r="C1795" s="61"/>
      <c r="D1795" s="61"/>
      <c r="E1795" s="61"/>
      <c r="F1795" s="61"/>
      <c r="G1795" s="61"/>
      <c r="H1795" s="63"/>
      <c r="I1795" s="61"/>
      <c r="J1795" s="61"/>
      <c r="K1795" s="61"/>
      <c r="L1795" s="61"/>
      <c r="M1795" s="61"/>
      <c r="N1795" s="61"/>
      <c r="O1795" s="61"/>
      <c r="P1795" s="61"/>
      <c r="Q1795" s="61"/>
      <c r="R1795" s="61"/>
      <c r="S1795" s="61"/>
      <c r="T1795" s="61"/>
      <c r="U1795" s="61"/>
      <c r="V1795" s="61"/>
      <c r="W1795" s="61"/>
      <c r="X1795" s="61"/>
      <c r="Y1795" s="61"/>
      <c r="Z1795" s="61"/>
    </row>
    <row r="1796" ht="15.75" customHeight="1">
      <c r="A1796" s="61"/>
      <c r="B1796" s="61"/>
      <c r="C1796" s="61"/>
      <c r="D1796" s="61"/>
      <c r="E1796" s="61"/>
      <c r="F1796" s="61"/>
      <c r="G1796" s="61"/>
      <c r="H1796" s="63"/>
      <c r="I1796" s="61"/>
      <c r="J1796" s="61"/>
      <c r="K1796" s="61"/>
      <c r="L1796" s="61"/>
      <c r="M1796" s="61"/>
      <c r="N1796" s="61"/>
      <c r="O1796" s="61"/>
      <c r="P1796" s="61"/>
      <c r="Q1796" s="61"/>
      <c r="R1796" s="61"/>
      <c r="S1796" s="61"/>
      <c r="T1796" s="61"/>
      <c r="U1796" s="61"/>
      <c r="V1796" s="61"/>
      <c r="W1796" s="61"/>
      <c r="X1796" s="61"/>
      <c r="Y1796" s="61"/>
      <c r="Z1796" s="61"/>
    </row>
    <row r="1797" ht="15.75" customHeight="1">
      <c r="A1797" s="61"/>
      <c r="B1797" s="61"/>
      <c r="C1797" s="61"/>
      <c r="D1797" s="61"/>
      <c r="E1797" s="61"/>
      <c r="F1797" s="61"/>
      <c r="G1797" s="61"/>
      <c r="H1797" s="63"/>
      <c r="I1797" s="61"/>
      <c r="J1797" s="61"/>
      <c r="K1797" s="61"/>
      <c r="L1797" s="61"/>
      <c r="M1797" s="61"/>
      <c r="N1797" s="61"/>
      <c r="O1797" s="61"/>
      <c r="P1797" s="61"/>
      <c r="Q1797" s="61"/>
      <c r="R1797" s="61"/>
      <c r="S1797" s="61"/>
      <c r="T1797" s="61"/>
      <c r="U1797" s="61"/>
      <c r="V1797" s="61"/>
      <c r="W1797" s="61"/>
      <c r="X1797" s="61"/>
      <c r="Y1797" s="61"/>
      <c r="Z1797" s="61"/>
    </row>
    <row r="1798" ht="15.75" customHeight="1">
      <c r="A1798" s="61"/>
      <c r="B1798" s="61"/>
      <c r="C1798" s="61"/>
      <c r="D1798" s="61"/>
      <c r="E1798" s="61"/>
      <c r="F1798" s="61"/>
      <c r="G1798" s="61"/>
      <c r="H1798" s="63"/>
      <c r="I1798" s="61"/>
      <c r="J1798" s="61"/>
      <c r="K1798" s="61"/>
      <c r="L1798" s="61"/>
      <c r="M1798" s="61"/>
      <c r="N1798" s="61"/>
      <c r="O1798" s="61"/>
      <c r="P1798" s="61"/>
      <c r="Q1798" s="61"/>
      <c r="R1798" s="61"/>
      <c r="S1798" s="61"/>
      <c r="T1798" s="61"/>
      <c r="U1798" s="61"/>
      <c r="V1798" s="61"/>
      <c r="W1798" s="61"/>
      <c r="X1798" s="61"/>
      <c r="Y1798" s="61"/>
      <c r="Z1798" s="61"/>
    </row>
    <row r="1799" ht="15.75" customHeight="1">
      <c r="A1799" s="61"/>
      <c r="B1799" s="61"/>
      <c r="C1799" s="61"/>
      <c r="D1799" s="61"/>
      <c r="E1799" s="61"/>
      <c r="F1799" s="61"/>
      <c r="G1799" s="61"/>
      <c r="H1799" s="63"/>
      <c r="I1799" s="61"/>
      <c r="J1799" s="61"/>
      <c r="K1799" s="61"/>
      <c r="L1799" s="61"/>
      <c r="M1799" s="61"/>
      <c r="N1799" s="61"/>
      <c r="O1799" s="61"/>
      <c r="P1799" s="61"/>
      <c r="Q1799" s="61"/>
      <c r="R1799" s="61"/>
      <c r="S1799" s="61"/>
      <c r="T1799" s="61"/>
      <c r="U1799" s="61"/>
      <c r="V1799" s="61"/>
      <c r="W1799" s="61"/>
      <c r="X1799" s="61"/>
      <c r="Y1799" s="61"/>
      <c r="Z1799" s="61"/>
    </row>
    <row r="1800" ht="15.75" customHeight="1">
      <c r="A1800" s="61"/>
      <c r="B1800" s="61"/>
      <c r="C1800" s="61"/>
      <c r="D1800" s="61"/>
      <c r="E1800" s="61"/>
      <c r="F1800" s="61"/>
      <c r="G1800" s="61"/>
      <c r="H1800" s="63"/>
      <c r="I1800" s="61"/>
      <c r="J1800" s="61"/>
      <c r="K1800" s="61"/>
      <c r="L1800" s="61"/>
      <c r="M1800" s="61"/>
      <c r="N1800" s="61"/>
      <c r="O1800" s="61"/>
      <c r="P1800" s="61"/>
      <c r="Q1800" s="61"/>
      <c r="R1800" s="61"/>
      <c r="S1800" s="61"/>
      <c r="T1800" s="61"/>
      <c r="U1800" s="61"/>
      <c r="V1800" s="61"/>
      <c r="W1800" s="61"/>
      <c r="X1800" s="61"/>
      <c r="Y1800" s="61"/>
      <c r="Z1800" s="61"/>
    </row>
    <row r="1801" ht="15.75" customHeight="1">
      <c r="A1801" s="61"/>
      <c r="B1801" s="61"/>
      <c r="C1801" s="61"/>
      <c r="D1801" s="61"/>
      <c r="E1801" s="61"/>
      <c r="F1801" s="61"/>
      <c r="G1801" s="61"/>
      <c r="H1801" s="63"/>
      <c r="I1801" s="61"/>
      <c r="J1801" s="61"/>
      <c r="K1801" s="61"/>
      <c r="L1801" s="61"/>
      <c r="M1801" s="61"/>
      <c r="N1801" s="61"/>
      <c r="O1801" s="61"/>
      <c r="P1801" s="61"/>
      <c r="Q1801" s="61"/>
      <c r="R1801" s="61"/>
      <c r="S1801" s="61"/>
      <c r="T1801" s="61"/>
      <c r="U1801" s="61"/>
      <c r="V1801" s="61"/>
      <c r="W1801" s="61"/>
      <c r="X1801" s="61"/>
      <c r="Y1801" s="61"/>
      <c r="Z1801" s="61"/>
    </row>
    <row r="1802" ht="15.75" customHeight="1">
      <c r="A1802" s="61"/>
      <c r="B1802" s="61"/>
      <c r="C1802" s="61"/>
      <c r="D1802" s="61"/>
      <c r="E1802" s="61"/>
      <c r="F1802" s="61"/>
      <c r="G1802" s="61"/>
      <c r="H1802" s="63"/>
      <c r="I1802" s="61"/>
      <c r="J1802" s="61"/>
      <c r="K1802" s="61"/>
      <c r="L1802" s="61"/>
      <c r="M1802" s="61"/>
      <c r="N1802" s="61"/>
      <c r="O1802" s="61"/>
      <c r="P1802" s="61"/>
      <c r="Q1802" s="61"/>
      <c r="R1802" s="61"/>
      <c r="S1802" s="61"/>
      <c r="T1802" s="61"/>
      <c r="U1802" s="61"/>
      <c r="V1802" s="61"/>
      <c r="W1802" s="61"/>
      <c r="X1802" s="61"/>
      <c r="Y1802" s="61"/>
      <c r="Z1802" s="61"/>
    </row>
    <row r="1803" ht="15.75" customHeight="1">
      <c r="A1803" s="61"/>
      <c r="B1803" s="61"/>
      <c r="C1803" s="61"/>
      <c r="D1803" s="61"/>
      <c r="E1803" s="61"/>
      <c r="F1803" s="61"/>
      <c r="G1803" s="61"/>
      <c r="H1803" s="63"/>
      <c r="I1803" s="61"/>
      <c r="J1803" s="61"/>
      <c r="K1803" s="61"/>
      <c r="L1803" s="61"/>
      <c r="M1803" s="61"/>
      <c r="N1803" s="61"/>
      <c r="O1803" s="61"/>
      <c r="P1803" s="61"/>
      <c r="Q1803" s="61"/>
      <c r="R1803" s="61"/>
      <c r="S1803" s="61"/>
      <c r="T1803" s="61"/>
      <c r="U1803" s="61"/>
      <c r="V1803" s="61"/>
      <c r="W1803" s="61"/>
      <c r="X1803" s="61"/>
      <c r="Y1803" s="61"/>
      <c r="Z1803" s="61"/>
    </row>
    <row r="1804" ht="15.75" customHeight="1">
      <c r="A1804" s="61"/>
      <c r="B1804" s="61"/>
      <c r="C1804" s="61"/>
      <c r="D1804" s="61"/>
      <c r="E1804" s="61"/>
      <c r="F1804" s="61"/>
      <c r="G1804" s="61"/>
      <c r="H1804" s="63"/>
      <c r="I1804" s="61"/>
      <c r="J1804" s="61"/>
      <c r="K1804" s="61"/>
      <c r="L1804" s="61"/>
      <c r="M1804" s="61"/>
      <c r="N1804" s="61"/>
      <c r="O1804" s="61"/>
      <c r="P1804" s="61"/>
      <c r="Q1804" s="61"/>
      <c r="R1804" s="61"/>
      <c r="S1804" s="61"/>
      <c r="T1804" s="61"/>
      <c r="U1804" s="61"/>
      <c r="V1804" s="61"/>
      <c r="W1804" s="61"/>
      <c r="X1804" s="61"/>
      <c r="Y1804" s="61"/>
      <c r="Z1804" s="61"/>
    </row>
    <row r="1805" ht="15.75" customHeight="1">
      <c r="A1805" s="61"/>
      <c r="B1805" s="61"/>
      <c r="C1805" s="61"/>
      <c r="D1805" s="61"/>
      <c r="E1805" s="61"/>
      <c r="F1805" s="61"/>
      <c r="G1805" s="61"/>
      <c r="H1805" s="63"/>
      <c r="I1805" s="61"/>
      <c r="J1805" s="61"/>
      <c r="K1805" s="61"/>
      <c r="L1805" s="61"/>
      <c r="M1805" s="61"/>
      <c r="N1805" s="61"/>
      <c r="O1805" s="61"/>
      <c r="P1805" s="61"/>
      <c r="Q1805" s="61"/>
      <c r="R1805" s="61"/>
      <c r="S1805" s="61"/>
      <c r="T1805" s="61"/>
      <c r="U1805" s="61"/>
      <c r="V1805" s="61"/>
      <c r="W1805" s="61"/>
      <c r="X1805" s="61"/>
      <c r="Y1805" s="61"/>
      <c r="Z1805" s="61"/>
    </row>
    <row r="1806" ht="15.75" customHeight="1">
      <c r="A1806" s="61"/>
      <c r="B1806" s="61"/>
      <c r="C1806" s="61"/>
      <c r="D1806" s="61"/>
      <c r="E1806" s="61"/>
      <c r="F1806" s="61"/>
      <c r="G1806" s="61"/>
      <c r="H1806" s="63"/>
      <c r="I1806" s="61"/>
      <c r="J1806" s="61"/>
      <c r="K1806" s="61"/>
      <c r="L1806" s="61"/>
      <c r="M1806" s="61"/>
      <c r="N1806" s="61"/>
      <c r="O1806" s="61"/>
      <c r="P1806" s="61"/>
      <c r="Q1806" s="61"/>
      <c r="R1806" s="61"/>
      <c r="S1806" s="61"/>
      <c r="T1806" s="61"/>
      <c r="U1806" s="61"/>
      <c r="V1806" s="61"/>
      <c r="W1806" s="61"/>
      <c r="X1806" s="61"/>
      <c r="Y1806" s="61"/>
      <c r="Z1806" s="61"/>
    </row>
    <row r="1807" ht="15.75" customHeight="1">
      <c r="A1807" s="61"/>
      <c r="B1807" s="61"/>
      <c r="C1807" s="61"/>
      <c r="D1807" s="61"/>
      <c r="E1807" s="61"/>
      <c r="F1807" s="61"/>
      <c r="G1807" s="61"/>
      <c r="H1807" s="63"/>
      <c r="I1807" s="61"/>
      <c r="J1807" s="61"/>
      <c r="K1807" s="61"/>
      <c r="L1807" s="61"/>
      <c r="M1807" s="61"/>
      <c r="N1807" s="61"/>
      <c r="O1807" s="61"/>
      <c r="P1807" s="61"/>
      <c r="Q1807" s="61"/>
      <c r="R1807" s="61"/>
      <c r="S1807" s="61"/>
      <c r="T1807" s="61"/>
      <c r="U1807" s="61"/>
      <c r="V1807" s="61"/>
      <c r="W1807" s="61"/>
      <c r="X1807" s="61"/>
      <c r="Y1807" s="61"/>
      <c r="Z1807" s="61"/>
    </row>
    <row r="1808" ht="15.75" customHeight="1">
      <c r="A1808" s="61"/>
      <c r="B1808" s="61"/>
      <c r="C1808" s="61"/>
      <c r="D1808" s="61"/>
      <c r="E1808" s="61"/>
      <c r="F1808" s="61"/>
      <c r="G1808" s="61"/>
      <c r="H1808" s="63"/>
      <c r="I1808" s="61"/>
      <c r="J1808" s="61"/>
      <c r="K1808" s="61"/>
      <c r="L1808" s="61"/>
      <c r="M1808" s="61"/>
      <c r="N1808" s="61"/>
      <c r="O1808" s="61"/>
      <c r="P1808" s="61"/>
      <c r="Q1808" s="61"/>
      <c r="R1808" s="61"/>
      <c r="S1808" s="61"/>
      <c r="T1808" s="61"/>
      <c r="U1808" s="61"/>
      <c r="V1808" s="61"/>
      <c r="W1808" s="61"/>
      <c r="X1808" s="61"/>
      <c r="Y1808" s="61"/>
      <c r="Z1808" s="61"/>
    </row>
    <row r="1809" ht="15.75" customHeight="1">
      <c r="A1809" s="61"/>
      <c r="B1809" s="61"/>
      <c r="C1809" s="61"/>
      <c r="D1809" s="61"/>
      <c r="E1809" s="61"/>
      <c r="F1809" s="61"/>
      <c r="G1809" s="61"/>
      <c r="H1809" s="63"/>
      <c r="I1809" s="61"/>
      <c r="J1809" s="61"/>
      <c r="K1809" s="61"/>
      <c r="L1809" s="61"/>
      <c r="M1809" s="61"/>
      <c r="N1809" s="61"/>
      <c r="O1809" s="61"/>
      <c r="P1809" s="61"/>
      <c r="Q1809" s="61"/>
      <c r="R1809" s="61"/>
      <c r="S1809" s="61"/>
      <c r="T1809" s="61"/>
      <c r="U1809" s="61"/>
      <c r="V1809" s="61"/>
      <c r="W1809" s="61"/>
      <c r="X1809" s="61"/>
      <c r="Y1809" s="61"/>
      <c r="Z1809" s="61"/>
    </row>
    <row r="1810" ht="15.75" customHeight="1">
      <c r="A1810" s="61"/>
      <c r="B1810" s="61"/>
      <c r="C1810" s="61"/>
      <c r="D1810" s="61"/>
      <c r="E1810" s="61"/>
      <c r="F1810" s="61"/>
      <c r="G1810" s="61"/>
      <c r="H1810" s="63"/>
      <c r="I1810" s="61"/>
      <c r="J1810" s="61"/>
      <c r="K1810" s="61"/>
      <c r="L1810" s="61"/>
      <c r="M1810" s="61"/>
      <c r="N1810" s="61"/>
      <c r="O1810" s="61"/>
      <c r="P1810" s="61"/>
      <c r="Q1810" s="61"/>
      <c r="R1810" s="61"/>
      <c r="S1810" s="61"/>
      <c r="T1810" s="61"/>
      <c r="U1810" s="61"/>
      <c r="V1810" s="61"/>
      <c r="W1810" s="61"/>
      <c r="X1810" s="61"/>
      <c r="Y1810" s="61"/>
      <c r="Z1810" s="61"/>
    </row>
    <row r="1811" ht="15.75" customHeight="1">
      <c r="A1811" s="61"/>
      <c r="B1811" s="61"/>
      <c r="C1811" s="61"/>
      <c r="D1811" s="61"/>
      <c r="E1811" s="61"/>
      <c r="F1811" s="61"/>
      <c r="G1811" s="61"/>
      <c r="H1811" s="63"/>
      <c r="I1811" s="61"/>
      <c r="J1811" s="61"/>
      <c r="K1811" s="61"/>
      <c r="L1811" s="61"/>
      <c r="M1811" s="61"/>
      <c r="N1811" s="61"/>
      <c r="O1811" s="61"/>
      <c r="P1811" s="61"/>
      <c r="Q1811" s="61"/>
      <c r="R1811" s="61"/>
      <c r="S1811" s="61"/>
      <c r="T1811" s="61"/>
      <c r="U1811" s="61"/>
      <c r="V1811" s="61"/>
      <c r="W1811" s="61"/>
      <c r="X1811" s="61"/>
      <c r="Y1811" s="61"/>
      <c r="Z1811" s="61"/>
    </row>
    <row r="1812" ht="15.75" customHeight="1">
      <c r="A1812" s="61"/>
      <c r="B1812" s="61"/>
      <c r="C1812" s="61"/>
      <c r="D1812" s="61"/>
      <c r="E1812" s="61"/>
      <c r="F1812" s="61"/>
      <c r="G1812" s="61"/>
      <c r="H1812" s="63"/>
      <c r="I1812" s="61"/>
      <c r="J1812" s="61"/>
      <c r="K1812" s="61"/>
      <c r="L1812" s="61"/>
      <c r="M1812" s="61"/>
      <c r="N1812" s="61"/>
      <c r="O1812" s="61"/>
      <c r="P1812" s="61"/>
      <c r="Q1812" s="61"/>
      <c r="R1812" s="61"/>
      <c r="S1812" s="61"/>
      <c r="T1812" s="61"/>
      <c r="U1812" s="61"/>
      <c r="V1812" s="61"/>
      <c r="W1812" s="61"/>
      <c r="X1812" s="61"/>
      <c r="Y1812" s="61"/>
      <c r="Z1812" s="61"/>
    </row>
    <row r="1813" ht="15.75" customHeight="1">
      <c r="A1813" s="61"/>
      <c r="B1813" s="61"/>
      <c r="C1813" s="61"/>
      <c r="D1813" s="61"/>
      <c r="E1813" s="61"/>
      <c r="F1813" s="61"/>
      <c r="G1813" s="61"/>
      <c r="H1813" s="63"/>
      <c r="I1813" s="61"/>
      <c r="J1813" s="61"/>
      <c r="K1813" s="61"/>
      <c r="L1813" s="61"/>
      <c r="M1813" s="61"/>
      <c r="N1813" s="61"/>
      <c r="O1813" s="61"/>
      <c r="P1813" s="61"/>
      <c r="Q1813" s="61"/>
      <c r="R1813" s="61"/>
      <c r="S1813" s="61"/>
      <c r="T1813" s="61"/>
      <c r="U1813" s="61"/>
      <c r="V1813" s="61"/>
      <c r="W1813" s="61"/>
      <c r="X1813" s="61"/>
      <c r="Y1813" s="61"/>
      <c r="Z1813" s="61"/>
    </row>
    <row r="1814" ht="15.75" customHeight="1">
      <c r="A1814" s="61"/>
      <c r="B1814" s="61"/>
      <c r="C1814" s="61"/>
      <c r="D1814" s="61"/>
      <c r="E1814" s="61"/>
      <c r="F1814" s="61"/>
      <c r="G1814" s="61"/>
      <c r="H1814" s="63"/>
      <c r="I1814" s="61"/>
      <c r="J1814" s="61"/>
      <c r="K1814" s="61"/>
      <c r="L1814" s="61"/>
      <c r="M1814" s="61"/>
      <c r="N1814" s="61"/>
      <c r="O1814" s="61"/>
      <c r="P1814" s="61"/>
      <c r="Q1814" s="61"/>
      <c r="R1814" s="61"/>
      <c r="S1814" s="61"/>
      <c r="T1814" s="61"/>
      <c r="U1814" s="61"/>
      <c r="V1814" s="61"/>
      <c r="W1814" s="61"/>
      <c r="X1814" s="61"/>
      <c r="Y1814" s="61"/>
      <c r="Z1814" s="61"/>
    </row>
    <row r="1815" ht="15.75" customHeight="1">
      <c r="A1815" s="61"/>
      <c r="B1815" s="61"/>
      <c r="C1815" s="61"/>
      <c r="D1815" s="61"/>
      <c r="E1815" s="61"/>
      <c r="F1815" s="61"/>
      <c r="G1815" s="61"/>
      <c r="H1815" s="63"/>
      <c r="I1815" s="61"/>
      <c r="J1815" s="61"/>
      <c r="K1815" s="61"/>
      <c r="L1815" s="61"/>
      <c r="M1815" s="61"/>
      <c r="N1815" s="61"/>
      <c r="O1815" s="61"/>
      <c r="P1815" s="61"/>
      <c r="Q1815" s="61"/>
      <c r="R1815" s="61"/>
      <c r="S1815" s="61"/>
      <c r="T1815" s="61"/>
      <c r="U1815" s="61"/>
      <c r="V1815" s="61"/>
      <c r="W1815" s="61"/>
      <c r="X1815" s="61"/>
      <c r="Y1815" s="61"/>
      <c r="Z1815" s="61"/>
    </row>
    <row r="1816" ht="15.75" customHeight="1">
      <c r="A1816" s="61"/>
      <c r="B1816" s="61"/>
      <c r="C1816" s="61"/>
      <c r="D1816" s="61"/>
      <c r="E1816" s="61"/>
      <c r="F1816" s="61"/>
      <c r="G1816" s="61"/>
      <c r="H1816" s="63"/>
      <c r="I1816" s="61"/>
      <c r="J1816" s="61"/>
      <c r="K1816" s="61"/>
      <c r="L1816" s="61"/>
      <c r="M1816" s="61"/>
      <c r="N1816" s="61"/>
      <c r="O1816" s="61"/>
      <c r="P1816" s="61"/>
      <c r="Q1816" s="61"/>
      <c r="R1816" s="61"/>
      <c r="S1816" s="61"/>
      <c r="T1816" s="61"/>
      <c r="U1816" s="61"/>
      <c r="V1816" s="61"/>
      <c r="W1816" s="61"/>
      <c r="X1816" s="61"/>
      <c r="Y1816" s="61"/>
      <c r="Z1816" s="61"/>
    </row>
    <row r="1817" ht="15.75" customHeight="1">
      <c r="A1817" s="61"/>
      <c r="B1817" s="61"/>
      <c r="C1817" s="61"/>
      <c r="D1817" s="61"/>
      <c r="E1817" s="61"/>
      <c r="F1817" s="61"/>
      <c r="G1817" s="61"/>
      <c r="H1817" s="63"/>
      <c r="I1817" s="61"/>
      <c r="J1817" s="61"/>
      <c r="K1817" s="61"/>
      <c r="L1817" s="61"/>
      <c r="M1817" s="61"/>
      <c r="N1817" s="61"/>
      <c r="O1817" s="61"/>
      <c r="P1817" s="61"/>
      <c r="Q1817" s="61"/>
      <c r="R1817" s="61"/>
      <c r="S1817" s="61"/>
      <c r="T1817" s="61"/>
      <c r="U1817" s="61"/>
      <c r="V1817" s="61"/>
      <c r="W1817" s="61"/>
      <c r="X1817" s="61"/>
      <c r="Y1817" s="61"/>
      <c r="Z1817" s="61"/>
    </row>
    <row r="1818" ht="15.75" customHeight="1">
      <c r="A1818" s="61"/>
      <c r="B1818" s="61"/>
      <c r="C1818" s="61"/>
      <c r="D1818" s="61"/>
      <c r="E1818" s="61"/>
      <c r="F1818" s="61"/>
      <c r="G1818" s="61"/>
      <c r="H1818" s="63"/>
      <c r="I1818" s="61"/>
      <c r="J1818" s="61"/>
      <c r="K1818" s="61"/>
      <c r="L1818" s="61"/>
      <c r="M1818" s="61"/>
      <c r="N1818" s="61"/>
      <c r="O1818" s="61"/>
      <c r="P1818" s="61"/>
      <c r="Q1818" s="61"/>
      <c r="R1818" s="61"/>
      <c r="S1818" s="61"/>
      <c r="T1818" s="61"/>
      <c r="U1818" s="61"/>
      <c r="V1818" s="61"/>
      <c r="W1818" s="61"/>
      <c r="X1818" s="61"/>
      <c r="Y1818" s="61"/>
      <c r="Z1818" s="61"/>
    </row>
    <row r="1819" ht="15.75" customHeight="1">
      <c r="A1819" s="61"/>
      <c r="B1819" s="61"/>
      <c r="C1819" s="61"/>
      <c r="D1819" s="61"/>
      <c r="E1819" s="61"/>
      <c r="F1819" s="61"/>
      <c r="G1819" s="61"/>
      <c r="H1819" s="63"/>
      <c r="I1819" s="61"/>
      <c r="J1819" s="61"/>
      <c r="K1819" s="61"/>
      <c r="L1819" s="61"/>
      <c r="M1819" s="61"/>
      <c r="N1819" s="61"/>
      <c r="O1819" s="61"/>
      <c r="P1819" s="61"/>
      <c r="Q1819" s="61"/>
      <c r="R1819" s="61"/>
      <c r="S1819" s="61"/>
      <c r="T1819" s="61"/>
      <c r="U1819" s="61"/>
      <c r="V1819" s="61"/>
      <c r="W1819" s="61"/>
      <c r="X1819" s="61"/>
      <c r="Y1819" s="61"/>
      <c r="Z1819" s="61"/>
    </row>
    <row r="1820" ht="15.75" customHeight="1">
      <c r="A1820" s="61"/>
      <c r="B1820" s="61"/>
      <c r="C1820" s="61"/>
      <c r="D1820" s="61"/>
      <c r="E1820" s="61"/>
      <c r="F1820" s="61"/>
      <c r="G1820" s="61"/>
      <c r="H1820" s="63"/>
      <c r="I1820" s="61"/>
      <c r="J1820" s="61"/>
      <c r="K1820" s="61"/>
      <c r="L1820" s="61"/>
      <c r="M1820" s="61"/>
      <c r="N1820" s="61"/>
      <c r="O1820" s="61"/>
      <c r="P1820" s="61"/>
      <c r="Q1820" s="61"/>
      <c r="R1820" s="61"/>
      <c r="S1820" s="61"/>
      <c r="T1820" s="61"/>
      <c r="U1820" s="61"/>
      <c r="V1820" s="61"/>
      <c r="W1820" s="61"/>
      <c r="X1820" s="61"/>
      <c r="Y1820" s="61"/>
      <c r="Z1820" s="61"/>
    </row>
    <row r="1821" ht="15.75" customHeight="1">
      <c r="A1821" s="61"/>
      <c r="B1821" s="61"/>
      <c r="C1821" s="61"/>
      <c r="D1821" s="61"/>
      <c r="E1821" s="61"/>
      <c r="F1821" s="61"/>
      <c r="G1821" s="61"/>
      <c r="H1821" s="63"/>
      <c r="I1821" s="61"/>
      <c r="J1821" s="61"/>
      <c r="K1821" s="61"/>
      <c r="L1821" s="61"/>
      <c r="M1821" s="61"/>
      <c r="N1821" s="61"/>
      <c r="O1821" s="61"/>
      <c r="P1821" s="61"/>
      <c r="Q1821" s="61"/>
      <c r="R1821" s="61"/>
      <c r="S1821" s="61"/>
      <c r="T1821" s="61"/>
      <c r="U1821" s="61"/>
      <c r="V1821" s="61"/>
      <c r="W1821" s="61"/>
      <c r="X1821" s="61"/>
      <c r="Y1821" s="61"/>
      <c r="Z1821" s="61"/>
    </row>
    <row r="1822" ht="15.75" customHeight="1">
      <c r="A1822" s="61"/>
      <c r="B1822" s="61"/>
      <c r="C1822" s="61"/>
      <c r="D1822" s="61"/>
      <c r="E1822" s="61"/>
      <c r="F1822" s="61"/>
      <c r="G1822" s="61"/>
      <c r="H1822" s="63"/>
      <c r="I1822" s="61"/>
      <c r="J1822" s="61"/>
      <c r="K1822" s="61"/>
      <c r="L1822" s="61"/>
      <c r="M1822" s="61"/>
      <c r="N1822" s="61"/>
      <c r="O1822" s="61"/>
      <c r="P1822" s="61"/>
      <c r="Q1822" s="61"/>
      <c r="R1822" s="61"/>
      <c r="S1822" s="61"/>
      <c r="T1822" s="61"/>
      <c r="U1822" s="61"/>
      <c r="V1822" s="61"/>
      <c r="W1822" s="61"/>
      <c r="X1822" s="61"/>
      <c r="Y1822" s="61"/>
      <c r="Z1822" s="61"/>
    </row>
    <row r="1823" ht="15.75" customHeight="1">
      <c r="A1823" s="61"/>
      <c r="B1823" s="61"/>
      <c r="C1823" s="61"/>
      <c r="D1823" s="61"/>
      <c r="E1823" s="61"/>
      <c r="F1823" s="61"/>
      <c r="G1823" s="61"/>
      <c r="H1823" s="63"/>
      <c r="I1823" s="61"/>
      <c r="J1823" s="61"/>
      <c r="K1823" s="61"/>
      <c r="L1823" s="61"/>
      <c r="M1823" s="61"/>
      <c r="N1823" s="61"/>
      <c r="O1823" s="61"/>
      <c r="P1823" s="61"/>
      <c r="Q1823" s="61"/>
      <c r="R1823" s="61"/>
      <c r="S1823" s="61"/>
      <c r="T1823" s="61"/>
      <c r="U1823" s="61"/>
      <c r="V1823" s="61"/>
      <c r="W1823" s="61"/>
      <c r="X1823" s="61"/>
      <c r="Y1823" s="61"/>
      <c r="Z1823" s="61"/>
    </row>
    <row r="1824" ht="15.75" customHeight="1">
      <c r="A1824" s="61"/>
      <c r="B1824" s="61"/>
      <c r="C1824" s="61"/>
      <c r="D1824" s="61"/>
      <c r="E1824" s="61"/>
      <c r="F1824" s="61"/>
      <c r="G1824" s="61"/>
      <c r="H1824" s="63"/>
      <c r="I1824" s="61"/>
      <c r="J1824" s="61"/>
      <c r="K1824" s="61"/>
      <c r="L1824" s="61"/>
      <c r="M1824" s="61"/>
      <c r="N1824" s="61"/>
      <c r="O1824" s="61"/>
      <c r="P1824" s="61"/>
      <c r="Q1824" s="61"/>
      <c r="R1824" s="61"/>
      <c r="S1824" s="61"/>
      <c r="T1824" s="61"/>
      <c r="U1824" s="61"/>
      <c r="V1824" s="61"/>
      <c r="W1824" s="61"/>
      <c r="X1824" s="61"/>
      <c r="Y1824" s="61"/>
      <c r="Z1824" s="61"/>
    </row>
    <row r="1825" ht="15.75" customHeight="1">
      <c r="A1825" s="61"/>
      <c r="B1825" s="61"/>
      <c r="C1825" s="61"/>
      <c r="D1825" s="61"/>
      <c r="E1825" s="61"/>
      <c r="F1825" s="61"/>
      <c r="G1825" s="61"/>
      <c r="H1825" s="63"/>
      <c r="I1825" s="61"/>
      <c r="J1825" s="61"/>
      <c r="K1825" s="61"/>
      <c r="L1825" s="61"/>
      <c r="M1825" s="61"/>
      <c r="N1825" s="61"/>
      <c r="O1825" s="61"/>
      <c r="P1825" s="61"/>
      <c r="Q1825" s="61"/>
      <c r="R1825" s="61"/>
      <c r="S1825" s="61"/>
      <c r="T1825" s="61"/>
      <c r="U1825" s="61"/>
      <c r="V1825" s="61"/>
      <c r="W1825" s="61"/>
      <c r="X1825" s="61"/>
      <c r="Y1825" s="61"/>
      <c r="Z1825" s="61"/>
    </row>
    <row r="1826" ht="15.75" customHeight="1">
      <c r="A1826" s="61"/>
      <c r="B1826" s="61"/>
      <c r="C1826" s="61"/>
      <c r="D1826" s="61"/>
      <c r="E1826" s="61"/>
      <c r="F1826" s="61"/>
      <c r="G1826" s="61"/>
      <c r="H1826" s="63"/>
      <c r="I1826" s="61"/>
      <c r="J1826" s="61"/>
      <c r="K1826" s="61"/>
      <c r="L1826" s="61"/>
      <c r="M1826" s="61"/>
      <c r="N1826" s="61"/>
      <c r="O1826" s="61"/>
      <c r="P1826" s="61"/>
      <c r="Q1826" s="61"/>
      <c r="R1826" s="61"/>
      <c r="S1826" s="61"/>
      <c r="T1826" s="61"/>
      <c r="U1826" s="61"/>
      <c r="V1826" s="61"/>
      <c r="W1826" s="61"/>
      <c r="X1826" s="61"/>
      <c r="Y1826" s="61"/>
      <c r="Z1826" s="61"/>
    </row>
    <row r="1827" ht="15.75" customHeight="1">
      <c r="A1827" s="61"/>
      <c r="B1827" s="61"/>
      <c r="C1827" s="61"/>
      <c r="D1827" s="61"/>
      <c r="E1827" s="61"/>
      <c r="F1827" s="61"/>
      <c r="G1827" s="61"/>
      <c r="H1827" s="63"/>
      <c r="I1827" s="61"/>
      <c r="J1827" s="61"/>
      <c r="K1827" s="61"/>
      <c r="L1827" s="61"/>
      <c r="M1827" s="61"/>
      <c r="N1827" s="61"/>
      <c r="O1827" s="61"/>
      <c r="P1827" s="61"/>
      <c r="Q1827" s="61"/>
      <c r="R1827" s="61"/>
      <c r="S1827" s="61"/>
      <c r="T1827" s="61"/>
      <c r="U1827" s="61"/>
      <c r="V1827" s="61"/>
      <c r="W1827" s="61"/>
      <c r="X1827" s="61"/>
      <c r="Y1827" s="61"/>
      <c r="Z1827" s="61"/>
    </row>
    <row r="1828" ht="15.75" customHeight="1">
      <c r="A1828" s="61"/>
      <c r="B1828" s="61"/>
      <c r="C1828" s="61"/>
      <c r="D1828" s="61"/>
      <c r="E1828" s="61"/>
      <c r="F1828" s="61"/>
      <c r="G1828" s="61"/>
      <c r="H1828" s="63"/>
      <c r="I1828" s="61"/>
      <c r="J1828" s="61"/>
      <c r="K1828" s="61"/>
      <c r="L1828" s="61"/>
      <c r="M1828" s="61"/>
      <c r="N1828" s="61"/>
      <c r="O1828" s="61"/>
      <c r="P1828" s="61"/>
      <c r="Q1828" s="61"/>
      <c r="R1828" s="61"/>
      <c r="S1828" s="61"/>
      <c r="T1828" s="61"/>
      <c r="U1828" s="61"/>
      <c r="V1828" s="61"/>
      <c r="W1828" s="61"/>
      <c r="X1828" s="61"/>
      <c r="Y1828" s="61"/>
      <c r="Z1828" s="61"/>
    </row>
    <row r="1829" ht="15.75" customHeight="1">
      <c r="A1829" s="61"/>
      <c r="B1829" s="61"/>
      <c r="C1829" s="61"/>
      <c r="D1829" s="61"/>
      <c r="E1829" s="61"/>
      <c r="F1829" s="61"/>
      <c r="G1829" s="61"/>
      <c r="H1829" s="63"/>
      <c r="I1829" s="61"/>
      <c r="J1829" s="61"/>
      <c r="K1829" s="61"/>
      <c r="L1829" s="61"/>
      <c r="M1829" s="61"/>
      <c r="N1829" s="61"/>
      <c r="O1829" s="61"/>
      <c r="P1829" s="61"/>
      <c r="Q1829" s="61"/>
      <c r="R1829" s="61"/>
      <c r="S1829" s="61"/>
      <c r="T1829" s="61"/>
      <c r="U1829" s="61"/>
      <c r="V1829" s="61"/>
      <c r="W1829" s="61"/>
      <c r="X1829" s="61"/>
      <c r="Y1829" s="61"/>
      <c r="Z1829" s="61"/>
    </row>
    <row r="1830" ht="15.75" customHeight="1">
      <c r="A1830" s="61"/>
      <c r="B1830" s="61"/>
      <c r="C1830" s="61"/>
      <c r="D1830" s="61"/>
      <c r="E1830" s="61"/>
      <c r="F1830" s="61"/>
      <c r="G1830" s="61"/>
      <c r="H1830" s="63"/>
      <c r="I1830" s="61"/>
      <c r="J1830" s="61"/>
      <c r="K1830" s="61"/>
      <c r="L1830" s="61"/>
      <c r="M1830" s="61"/>
      <c r="N1830" s="61"/>
      <c r="O1830" s="61"/>
      <c r="P1830" s="61"/>
      <c r="Q1830" s="61"/>
      <c r="R1830" s="61"/>
      <c r="S1830" s="61"/>
      <c r="T1830" s="61"/>
      <c r="U1830" s="61"/>
      <c r="V1830" s="61"/>
      <c r="W1830" s="61"/>
      <c r="X1830" s="61"/>
      <c r="Y1830" s="61"/>
      <c r="Z1830" s="61"/>
    </row>
    <row r="1831" ht="15.75" customHeight="1">
      <c r="A1831" s="61"/>
      <c r="B1831" s="61"/>
      <c r="C1831" s="61"/>
      <c r="D1831" s="61"/>
      <c r="E1831" s="61"/>
      <c r="F1831" s="61"/>
      <c r="G1831" s="61"/>
      <c r="H1831" s="63"/>
      <c r="I1831" s="61"/>
      <c r="J1831" s="61"/>
      <c r="K1831" s="61"/>
      <c r="L1831" s="61"/>
      <c r="M1831" s="61"/>
      <c r="N1831" s="61"/>
      <c r="O1831" s="61"/>
      <c r="P1831" s="61"/>
      <c r="Q1831" s="61"/>
      <c r="R1831" s="61"/>
      <c r="S1831" s="61"/>
      <c r="T1831" s="61"/>
      <c r="U1831" s="61"/>
      <c r="V1831" s="61"/>
      <c r="W1831" s="61"/>
      <c r="X1831" s="61"/>
      <c r="Y1831" s="61"/>
      <c r="Z1831" s="61"/>
    </row>
    <row r="1832" ht="15.75" customHeight="1">
      <c r="A1832" s="61"/>
      <c r="B1832" s="61"/>
      <c r="C1832" s="61"/>
      <c r="D1832" s="61"/>
      <c r="E1832" s="61"/>
      <c r="F1832" s="61"/>
      <c r="G1832" s="61"/>
      <c r="H1832" s="63"/>
      <c r="I1832" s="61"/>
      <c r="J1832" s="61"/>
      <c r="K1832" s="61"/>
      <c r="L1832" s="61"/>
      <c r="M1832" s="61"/>
      <c r="N1832" s="61"/>
      <c r="O1832" s="61"/>
      <c r="P1832" s="61"/>
      <c r="Q1832" s="61"/>
      <c r="R1832" s="61"/>
      <c r="S1832" s="61"/>
      <c r="T1832" s="61"/>
      <c r="U1832" s="61"/>
      <c r="V1832" s="61"/>
      <c r="W1832" s="61"/>
      <c r="X1832" s="61"/>
      <c r="Y1832" s="61"/>
      <c r="Z1832" s="61"/>
    </row>
    <row r="1833" ht="15.75" customHeight="1">
      <c r="A1833" s="61"/>
      <c r="B1833" s="61"/>
      <c r="C1833" s="61"/>
      <c r="D1833" s="61"/>
      <c r="E1833" s="61"/>
      <c r="F1833" s="61"/>
      <c r="G1833" s="61"/>
      <c r="H1833" s="63"/>
      <c r="I1833" s="61"/>
      <c r="J1833" s="61"/>
      <c r="K1833" s="61"/>
      <c r="L1833" s="61"/>
      <c r="M1833" s="61"/>
      <c r="N1833" s="61"/>
      <c r="O1833" s="61"/>
      <c r="P1833" s="61"/>
      <c r="Q1833" s="61"/>
      <c r="R1833" s="61"/>
      <c r="S1833" s="61"/>
      <c r="T1833" s="61"/>
      <c r="U1833" s="61"/>
      <c r="V1833" s="61"/>
      <c r="W1833" s="61"/>
      <c r="X1833" s="61"/>
      <c r="Y1833" s="61"/>
      <c r="Z1833" s="61"/>
    </row>
    <row r="1834" ht="15.75" customHeight="1">
      <c r="A1834" s="61"/>
      <c r="B1834" s="61"/>
      <c r="C1834" s="61"/>
      <c r="D1834" s="61"/>
      <c r="E1834" s="61"/>
      <c r="F1834" s="61"/>
      <c r="G1834" s="61"/>
      <c r="H1834" s="63"/>
      <c r="I1834" s="61"/>
      <c r="J1834" s="61"/>
      <c r="K1834" s="61"/>
      <c r="L1834" s="61"/>
      <c r="M1834" s="61"/>
      <c r="N1834" s="61"/>
      <c r="O1834" s="61"/>
      <c r="P1834" s="61"/>
      <c r="Q1834" s="61"/>
      <c r="R1834" s="61"/>
      <c r="S1834" s="61"/>
      <c r="T1834" s="61"/>
      <c r="U1834" s="61"/>
      <c r="V1834" s="61"/>
      <c r="W1834" s="61"/>
      <c r="X1834" s="61"/>
      <c r="Y1834" s="61"/>
      <c r="Z1834" s="61"/>
    </row>
    <row r="1835" ht="15.75" customHeight="1">
      <c r="A1835" s="61"/>
      <c r="B1835" s="61"/>
      <c r="C1835" s="61"/>
      <c r="D1835" s="61"/>
      <c r="E1835" s="61"/>
      <c r="F1835" s="61"/>
      <c r="G1835" s="61"/>
      <c r="H1835" s="63"/>
      <c r="I1835" s="61"/>
      <c r="J1835" s="61"/>
      <c r="K1835" s="61"/>
      <c r="L1835" s="61"/>
      <c r="M1835" s="61"/>
      <c r="N1835" s="61"/>
      <c r="O1835" s="61"/>
      <c r="P1835" s="61"/>
      <c r="Q1835" s="61"/>
      <c r="R1835" s="61"/>
      <c r="S1835" s="61"/>
      <c r="T1835" s="61"/>
      <c r="U1835" s="61"/>
      <c r="V1835" s="61"/>
      <c r="W1835" s="61"/>
      <c r="X1835" s="61"/>
      <c r="Y1835" s="61"/>
      <c r="Z1835" s="61"/>
    </row>
    <row r="1836" ht="15.75" customHeight="1">
      <c r="A1836" s="61"/>
      <c r="B1836" s="61"/>
      <c r="C1836" s="61"/>
      <c r="D1836" s="61"/>
      <c r="E1836" s="61"/>
      <c r="F1836" s="61"/>
      <c r="G1836" s="61"/>
      <c r="H1836" s="63"/>
      <c r="I1836" s="61"/>
      <c r="J1836" s="61"/>
      <c r="K1836" s="61"/>
      <c r="L1836" s="61"/>
      <c r="M1836" s="61"/>
      <c r="N1836" s="61"/>
      <c r="O1836" s="61"/>
      <c r="P1836" s="61"/>
      <c r="Q1836" s="61"/>
      <c r="R1836" s="61"/>
      <c r="S1836" s="61"/>
      <c r="T1836" s="61"/>
      <c r="U1836" s="61"/>
      <c r="V1836" s="61"/>
      <c r="W1836" s="61"/>
      <c r="X1836" s="61"/>
      <c r="Y1836" s="61"/>
      <c r="Z1836" s="61"/>
    </row>
    <row r="1837" ht="15.75" customHeight="1">
      <c r="A1837" s="61"/>
      <c r="B1837" s="61"/>
      <c r="C1837" s="61"/>
      <c r="D1837" s="61"/>
      <c r="E1837" s="61"/>
      <c r="F1837" s="61"/>
      <c r="G1837" s="61"/>
      <c r="H1837" s="63"/>
      <c r="I1837" s="61"/>
      <c r="J1837" s="61"/>
      <c r="K1837" s="61"/>
      <c r="L1837" s="61"/>
      <c r="M1837" s="61"/>
      <c r="N1837" s="61"/>
      <c r="O1837" s="61"/>
      <c r="P1837" s="61"/>
      <c r="Q1837" s="61"/>
      <c r="R1837" s="61"/>
      <c r="S1837" s="61"/>
      <c r="T1837" s="61"/>
      <c r="U1837" s="61"/>
      <c r="V1837" s="61"/>
      <c r="W1837" s="61"/>
      <c r="X1837" s="61"/>
      <c r="Y1837" s="61"/>
      <c r="Z1837" s="61"/>
    </row>
    <row r="1838" ht="15.75" customHeight="1">
      <c r="A1838" s="61"/>
      <c r="B1838" s="61"/>
      <c r="C1838" s="61"/>
      <c r="D1838" s="61"/>
      <c r="E1838" s="61"/>
      <c r="F1838" s="61"/>
      <c r="G1838" s="61"/>
      <c r="H1838" s="63"/>
      <c r="I1838" s="61"/>
      <c r="J1838" s="61"/>
      <c r="K1838" s="61"/>
      <c r="L1838" s="61"/>
      <c r="M1838" s="61"/>
      <c r="N1838" s="61"/>
      <c r="O1838" s="61"/>
      <c r="P1838" s="61"/>
      <c r="Q1838" s="61"/>
      <c r="R1838" s="61"/>
      <c r="S1838" s="61"/>
      <c r="T1838" s="61"/>
      <c r="U1838" s="61"/>
      <c r="V1838" s="61"/>
      <c r="W1838" s="61"/>
      <c r="X1838" s="61"/>
      <c r="Y1838" s="61"/>
      <c r="Z1838" s="61"/>
    </row>
    <row r="1839" ht="15.75" customHeight="1">
      <c r="A1839" s="61"/>
      <c r="B1839" s="61"/>
      <c r="C1839" s="61"/>
      <c r="D1839" s="61"/>
      <c r="E1839" s="61"/>
      <c r="F1839" s="61"/>
      <c r="G1839" s="61"/>
      <c r="H1839" s="63"/>
      <c r="I1839" s="61"/>
      <c r="J1839" s="61"/>
      <c r="K1839" s="61"/>
      <c r="L1839" s="61"/>
      <c r="M1839" s="61"/>
      <c r="N1839" s="61"/>
      <c r="O1839" s="61"/>
      <c r="P1839" s="61"/>
      <c r="Q1839" s="61"/>
      <c r="R1839" s="61"/>
      <c r="S1839" s="61"/>
      <c r="T1839" s="61"/>
      <c r="U1839" s="61"/>
      <c r="V1839" s="61"/>
      <c r="W1839" s="61"/>
      <c r="X1839" s="61"/>
      <c r="Y1839" s="61"/>
      <c r="Z1839" s="61"/>
    </row>
    <row r="1840" ht="15.75" customHeight="1">
      <c r="A1840" s="61"/>
      <c r="B1840" s="61"/>
      <c r="C1840" s="61"/>
      <c r="D1840" s="61"/>
      <c r="E1840" s="61"/>
      <c r="F1840" s="61"/>
      <c r="G1840" s="61"/>
      <c r="H1840" s="63"/>
      <c r="I1840" s="61"/>
      <c r="J1840" s="61"/>
      <c r="K1840" s="61"/>
      <c r="L1840" s="61"/>
      <c r="M1840" s="61"/>
      <c r="N1840" s="61"/>
      <c r="O1840" s="61"/>
      <c r="P1840" s="61"/>
      <c r="Q1840" s="61"/>
      <c r="R1840" s="61"/>
      <c r="S1840" s="61"/>
      <c r="T1840" s="61"/>
      <c r="U1840" s="61"/>
      <c r="V1840" s="61"/>
      <c r="W1840" s="61"/>
      <c r="X1840" s="61"/>
      <c r="Y1840" s="61"/>
      <c r="Z1840" s="61"/>
    </row>
    <row r="1841" ht="15.75" customHeight="1">
      <c r="A1841" s="61"/>
      <c r="B1841" s="61"/>
      <c r="C1841" s="61"/>
      <c r="D1841" s="61"/>
      <c r="E1841" s="61"/>
      <c r="F1841" s="61"/>
      <c r="G1841" s="61"/>
      <c r="H1841" s="63"/>
      <c r="I1841" s="61"/>
      <c r="J1841" s="61"/>
      <c r="K1841" s="61"/>
      <c r="L1841" s="61"/>
      <c r="M1841" s="61"/>
      <c r="N1841" s="61"/>
      <c r="O1841" s="61"/>
      <c r="P1841" s="61"/>
      <c r="Q1841" s="61"/>
      <c r="R1841" s="61"/>
      <c r="S1841" s="61"/>
      <c r="T1841" s="61"/>
      <c r="U1841" s="61"/>
      <c r="V1841" s="61"/>
      <c r="W1841" s="61"/>
      <c r="X1841" s="61"/>
      <c r="Y1841" s="61"/>
      <c r="Z1841" s="61"/>
    </row>
    <row r="1842" ht="15.75" customHeight="1">
      <c r="A1842" s="61"/>
      <c r="B1842" s="61"/>
      <c r="C1842" s="61"/>
      <c r="D1842" s="61"/>
      <c r="E1842" s="61"/>
      <c r="F1842" s="61"/>
      <c r="G1842" s="61"/>
      <c r="H1842" s="63"/>
      <c r="I1842" s="61"/>
      <c r="J1842" s="61"/>
      <c r="K1842" s="61"/>
      <c r="L1842" s="61"/>
      <c r="M1842" s="61"/>
      <c r="N1842" s="61"/>
      <c r="O1842" s="61"/>
      <c r="P1842" s="61"/>
      <c r="Q1842" s="61"/>
      <c r="R1842" s="61"/>
      <c r="S1842" s="61"/>
      <c r="T1842" s="61"/>
      <c r="U1842" s="61"/>
      <c r="V1842" s="61"/>
      <c r="W1842" s="61"/>
      <c r="X1842" s="61"/>
      <c r="Y1842" s="61"/>
      <c r="Z1842" s="61"/>
    </row>
    <row r="1843" ht="15.75" customHeight="1">
      <c r="A1843" s="61"/>
      <c r="B1843" s="61"/>
      <c r="C1843" s="61"/>
      <c r="D1843" s="61"/>
      <c r="E1843" s="61"/>
      <c r="F1843" s="61"/>
      <c r="G1843" s="61"/>
      <c r="H1843" s="63"/>
      <c r="I1843" s="61"/>
      <c r="J1843" s="61"/>
      <c r="K1843" s="61"/>
      <c r="L1843" s="61"/>
      <c r="M1843" s="61"/>
      <c r="N1843" s="61"/>
      <c r="O1843" s="61"/>
      <c r="P1843" s="61"/>
      <c r="Q1843" s="61"/>
      <c r="R1843" s="61"/>
      <c r="S1843" s="61"/>
      <c r="T1843" s="61"/>
      <c r="U1843" s="61"/>
      <c r="V1843" s="61"/>
      <c r="W1843" s="61"/>
      <c r="X1843" s="61"/>
      <c r="Y1843" s="61"/>
      <c r="Z1843" s="61"/>
    </row>
    <row r="1844" ht="15.75" customHeight="1">
      <c r="A1844" s="61"/>
      <c r="B1844" s="61"/>
      <c r="C1844" s="61"/>
      <c r="D1844" s="61"/>
      <c r="E1844" s="61"/>
      <c r="F1844" s="61"/>
      <c r="G1844" s="61"/>
      <c r="H1844" s="63"/>
      <c r="I1844" s="61"/>
      <c r="J1844" s="61"/>
      <c r="K1844" s="61"/>
      <c r="L1844" s="61"/>
      <c r="M1844" s="61"/>
      <c r="N1844" s="61"/>
      <c r="O1844" s="61"/>
      <c r="P1844" s="61"/>
      <c r="Q1844" s="61"/>
      <c r="R1844" s="61"/>
      <c r="S1844" s="61"/>
      <c r="T1844" s="61"/>
      <c r="U1844" s="61"/>
      <c r="V1844" s="61"/>
      <c r="W1844" s="61"/>
      <c r="X1844" s="61"/>
      <c r="Y1844" s="61"/>
      <c r="Z1844" s="61"/>
    </row>
    <row r="1845" ht="15.75" customHeight="1">
      <c r="A1845" s="61"/>
      <c r="B1845" s="61"/>
      <c r="C1845" s="61"/>
      <c r="D1845" s="61"/>
      <c r="E1845" s="61"/>
      <c r="F1845" s="61"/>
      <c r="G1845" s="61"/>
      <c r="H1845" s="63"/>
      <c r="I1845" s="61"/>
      <c r="J1845" s="61"/>
      <c r="K1845" s="61"/>
      <c r="L1845" s="61"/>
      <c r="M1845" s="61"/>
      <c r="N1845" s="61"/>
      <c r="O1845" s="61"/>
      <c r="P1845" s="61"/>
      <c r="Q1845" s="61"/>
      <c r="R1845" s="61"/>
      <c r="S1845" s="61"/>
      <c r="T1845" s="61"/>
      <c r="U1845" s="61"/>
      <c r="V1845" s="61"/>
      <c r="W1845" s="61"/>
      <c r="X1845" s="61"/>
      <c r="Y1845" s="61"/>
      <c r="Z1845" s="61"/>
    </row>
    <row r="1846" ht="15.75" customHeight="1">
      <c r="A1846" s="61"/>
      <c r="B1846" s="61"/>
      <c r="C1846" s="61"/>
      <c r="D1846" s="61"/>
      <c r="E1846" s="61"/>
      <c r="F1846" s="61"/>
      <c r="G1846" s="61"/>
      <c r="H1846" s="63"/>
      <c r="I1846" s="61"/>
      <c r="J1846" s="61"/>
      <c r="K1846" s="61"/>
      <c r="L1846" s="61"/>
      <c r="M1846" s="61"/>
      <c r="N1846" s="61"/>
      <c r="O1846" s="61"/>
      <c r="P1846" s="61"/>
      <c r="Q1846" s="61"/>
      <c r="R1846" s="61"/>
      <c r="S1846" s="61"/>
      <c r="T1846" s="61"/>
      <c r="U1846" s="61"/>
      <c r="V1846" s="61"/>
      <c r="W1846" s="61"/>
      <c r="X1846" s="61"/>
      <c r="Y1846" s="61"/>
      <c r="Z1846" s="61"/>
    </row>
    <row r="1847" ht="15.75" customHeight="1">
      <c r="A1847" s="61"/>
      <c r="B1847" s="61"/>
      <c r="C1847" s="61"/>
      <c r="D1847" s="61"/>
      <c r="E1847" s="61"/>
      <c r="F1847" s="61"/>
      <c r="G1847" s="61"/>
      <c r="H1847" s="63"/>
      <c r="I1847" s="61"/>
      <c r="J1847" s="61"/>
      <c r="K1847" s="61"/>
      <c r="L1847" s="61"/>
      <c r="M1847" s="61"/>
      <c r="N1847" s="61"/>
      <c r="O1847" s="61"/>
      <c r="P1847" s="61"/>
      <c r="Q1847" s="61"/>
      <c r="R1847" s="61"/>
      <c r="S1847" s="61"/>
      <c r="T1847" s="61"/>
      <c r="U1847" s="61"/>
      <c r="V1847" s="61"/>
      <c r="W1847" s="61"/>
      <c r="X1847" s="61"/>
      <c r="Y1847" s="61"/>
      <c r="Z1847" s="61"/>
    </row>
    <row r="1848" ht="15.75" customHeight="1">
      <c r="A1848" s="61"/>
      <c r="B1848" s="61"/>
      <c r="C1848" s="61"/>
      <c r="D1848" s="61"/>
      <c r="E1848" s="61"/>
      <c r="F1848" s="61"/>
      <c r="G1848" s="61"/>
      <c r="H1848" s="63"/>
      <c r="I1848" s="61"/>
      <c r="J1848" s="61"/>
      <c r="K1848" s="61"/>
      <c r="L1848" s="61"/>
      <c r="M1848" s="61"/>
      <c r="N1848" s="61"/>
      <c r="O1848" s="61"/>
      <c r="P1848" s="61"/>
      <c r="Q1848" s="61"/>
      <c r="R1848" s="61"/>
      <c r="S1848" s="61"/>
      <c r="T1848" s="61"/>
      <c r="U1848" s="61"/>
      <c r="V1848" s="61"/>
      <c r="W1848" s="61"/>
      <c r="X1848" s="61"/>
      <c r="Y1848" s="61"/>
      <c r="Z1848" s="61"/>
    </row>
    <row r="1849" ht="15.75" customHeight="1">
      <c r="A1849" s="61"/>
      <c r="B1849" s="61"/>
      <c r="C1849" s="61"/>
      <c r="D1849" s="61"/>
      <c r="E1849" s="61"/>
      <c r="F1849" s="61"/>
      <c r="G1849" s="61"/>
      <c r="H1849" s="63"/>
      <c r="I1849" s="61"/>
      <c r="J1849" s="61"/>
      <c r="K1849" s="61"/>
      <c r="L1849" s="61"/>
      <c r="M1849" s="61"/>
      <c r="N1849" s="61"/>
      <c r="O1849" s="61"/>
      <c r="P1849" s="61"/>
      <c r="Q1849" s="61"/>
      <c r="R1849" s="61"/>
      <c r="S1849" s="61"/>
      <c r="T1849" s="61"/>
      <c r="U1849" s="61"/>
      <c r="V1849" s="61"/>
      <c r="W1849" s="61"/>
      <c r="X1849" s="61"/>
      <c r="Y1849" s="61"/>
      <c r="Z1849" s="61"/>
    </row>
    <row r="1850" ht="15.75" customHeight="1">
      <c r="A1850" s="61"/>
      <c r="B1850" s="61"/>
      <c r="C1850" s="61"/>
      <c r="D1850" s="61"/>
      <c r="E1850" s="61"/>
      <c r="F1850" s="61"/>
      <c r="G1850" s="61"/>
      <c r="H1850" s="63"/>
      <c r="I1850" s="61"/>
      <c r="J1850" s="61"/>
      <c r="K1850" s="61"/>
      <c r="L1850" s="61"/>
      <c r="M1850" s="61"/>
      <c r="N1850" s="61"/>
      <c r="O1850" s="61"/>
      <c r="P1850" s="61"/>
      <c r="Q1850" s="61"/>
      <c r="R1850" s="61"/>
      <c r="S1850" s="61"/>
      <c r="T1850" s="61"/>
      <c r="U1850" s="61"/>
      <c r="V1850" s="61"/>
      <c r="W1850" s="61"/>
      <c r="X1850" s="61"/>
      <c r="Y1850" s="61"/>
      <c r="Z1850" s="61"/>
    </row>
    <row r="1851" ht="15.75" customHeight="1">
      <c r="A1851" s="61"/>
      <c r="B1851" s="61"/>
      <c r="C1851" s="61"/>
      <c r="D1851" s="61"/>
      <c r="E1851" s="61"/>
      <c r="F1851" s="61"/>
      <c r="G1851" s="61"/>
      <c r="H1851" s="63"/>
      <c r="I1851" s="61"/>
      <c r="J1851" s="61"/>
      <c r="K1851" s="61"/>
      <c r="L1851" s="61"/>
      <c r="M1851" s="61"/>
      <c r="N1851" s="61"/>
      <c r="O1851" s="61"/>
      <c r="P1851" s="61"/>
      <c r="Q1851" s="61"/>
      <c r="R1851" s="61"/>
      <c r="S1851" s="61"/>
      <c r="T1851" s="61"/>
      <c r="U1851" s="61"/>
      <c r="V1851" s="61"/>
      <c r="W1851" s="61"/>
      <c r="X1851" s="61"/>
      <c r="Y1851" s="61"/>
      <c r="Z1851" s="61"/>
    </row>
    <row r="1852" ht="15.75" customHeight="1">
      <c r="A1852" s="61"/>
      <c r="B1852" s="61"/>
      <c r="C1852" s="61"/>
      <c r="D1852" s="61"/>
      <c r="E1852" s="61"/>
      <c r="F1852" s="61"/>
      <c r="G1852" s="61"/>
      <c r="H1852" s="63"/>
      <c r="I1852" s="61"/>
      <c r="J1852" s="61"/>
      <c r="K1852" s="61"/>
      <c r="L1852" s="61"/>
      <c r="M1852" s="61"/>
      <c r="N1852" s="61"/>
      <c r="O1852" s="61"/>
      <c r="P1852" s="61"/>
      <c r="Q1852" s="61"/>
      <c r="R1852" s="61"/>
      <c r="S1852" s="61"/>
      <c r="T1852" s="61"/>
      <c r="U1852" s="61"/>
      <c r="V1852" s="61"/>
      <c r="W1852" s="61"/>
      <c r="X1852" s="61"/>
      <c r="Y1852" s="61"/>
      <c r="Z1852" s="61"/>
    </row>
    <row r="1853" ht="15.75" customHeight="1">
      <c r="A1853" s="61"/>
      <c r="B1853" s="61"/>
      <c r="C1853" s="61"/>
      <c r="D1853" s="61"/>
      <c r="E1853" s="61"/>
      <c r="F1853" s="61"/>
      <c r="G1853" s="61"/>
      <c r="H1853" s="63"/>
      <c r="I1853" s="61"/>
      <c r="J1853" s="61"/>
      <c r="K1853" s="61"/>
      <c r="L1853" s="61"/>
      <c r="M1853" s="61"/>
      <c r="N1853" s="61"/>
      <c r="O1853" s="61"/>
      <c r="P1853" s="61"/>
      <c r="Q1853" s="61"/>
      <c r="R1853" s="61"/>
      <c r="S1853" s="61"/>
      <c r="T1853" s="61"/>
      <c r="U1853" s="61"/>
      <c r="V1853" s="61"/>
      <c r="W1853" s="61"/>
      <c r="X1853" s="61"/>
      <c r="Y1853" s="61"/>
      <c r="Z1853" s="61"/>
    </row>
    <row r="1854" ht="15.75" customHeight="1">
      <c r="A1854" s="61"/>
      <c r="B1854" s="61"/>
      <c r="C1854" s="61"/>
      <c r="D1854" s="61"/>
      <c r="E1854" s="61"/>
      <c r="F1854" s="61"/>
      <c r="G1854" s="61"/>
      <c r="H1854" s="63"/>
      <c r="I1854" s="61"/>
      <c r="J1854" s="61"/>
      <c r="K1854" s="61"/>
      <c r="L1854" s="61"/>
      <c r="M1854" s="61"/>
      <c r="N1854" s="61"/>
      <c r="O1854" s="61"/>
      <c r="P1854" s="61"/>
      <c r="Q1854" s="61"/>
      <c r="R1854" s="61"/>
      <c r="S1854" s="61"/>
      <c r="T1854" s="61"/>
      <c r="U1854" s="61"/>
      <c r="V1854" s="61"/>
      <c r="W1854" s="61"/>
      <c r="X1854" s="61"/>
      <c r="Y1854" s="61"/>
      <c r="Z1854" s="61"/>
    </row>
    <row r="1855" ht="15.75" customHeight="1">
      <c r="A1855" s="61"/>
      <c r="B1855" s="61"/>
      <c r="C1855" s="61"/>
      <c r="D1855" s="61"/>
      <c r="E1855" s="61"/>
      <c r="F1855" s="61"/>
      <c r="G1855" s="61"/>
      <c r="H1855" s="63"/>
      <c r="I1855" s="61"/>
      <c r="J1855" s="61"/>
      <c r="K1855" s="61"/>
      <c r="L1855" s="61"/>
      <c r="M1855" s="61"/>
      <c r="N1855" s="61"/>
      <c r="O1855" s="61"/>
      <c r="P1855" s="61"/>
      <c r="Q1855" s="61"/>
      <c r="R1855" s="61"/>
      <c r="S1855" s="61"/>
      <c r="T1855" s="61"/>
      <c r="U1855" s="61"/>
      <c r="V1855" s="61"/>
      <c r="W1855" s="61"/>
      <c r="X1855" s="61"/>
      <c r="Y1855" s="61"/>
      <c r="Z1855" s="61"/>
    </row>
    <row r="1856" ht="15.75" customHeight="1">
      <c r="A1856" s="61"/>
      <c r="B1856" s="61"/>
      <c r="C1856" s="61"/>
      <c r="D1856" s="61"/>
      <c r="E1856" s="61"/>
      <c r="F1856" s="61"/>
      <c r="G1856" s="61"/>
      <c r="H1856" s="63"/>
      <c r="I1856" s="61"/>
      <c r="J1856" s="61"/>
      <c r="K1856" s="61"/>
      <c r="L1856" s="61"/>
      <c r="M1856" s="61"/>
      <c r="N1856" s="61"/>
      <c r="O1856" s="61"/>
      <c r="P1856" s="61"/>
      <c r="Q1856" s="61"/>
      <c r="R1856" s="61"/>
      <c r="S1856" s="61"/>
      <c r="T1856" s="61"/>
      <c r="U1856" s="61"/>
      <c r="V1856" s="61"/>
      <c r="W1856" s="61"/>
      <c r="X1856" s="61"/>
      <c r="Y1856" s="61"/>
      <c r="Z1856" s="61"/>
    </row>
    <row r="1857" ht="15.75" customHeight="1">
      <c r="A1857" s="61"/>
      <c r="B1857" s="61"/>
      <c r="C1857" s="61"/>
      <c r="D1857" s="61"/>
      <c r="E1857" s="61"/>
      <c r="F1857" s="61"/>
      <c r="G1857" s="61"/>
      <c r="H1857" s="63"/>
      <c r="I1857" s="61"/>
      <c r="J1857" s="61"/>
      <c r="K1857" s="61"/>
      <c r="L1857" s="61"/>
      <c r="M1857" s="61"/>
      <c r="N1857" s="61"/>
      <c r="O1857" s="61"/>
      <c r="P1857" s="61"/>
      <c r="Q1857" s="61"/>
      <c r="R1857" s="61"/>
      <c r="S1857" s="61"/>
      <c r="T1857" s="61"/>
      <c r="U1857" s="61"/>
      <c r="V1857" s="61"/>
      <c r="W1857" s="61"/>
      <c r="X1857" s="61"/>
      <c r="Y1857" s="61"/>
      <c r="Z1857" s="61"/>
    </row>
    <row r="1858" ht="15.75" customHeight="1">
      <c r="A1858" s="61"/>
      <c r="B1858" s="61"/>
      <c r="C1858" s="61"/>
      <c r="D1858" s="61"/>
      <c r="E1858" s="61"/>
      <c r="F1858" s="61"/>
      <c r="G1858" s="61"/>
      <c r="H1858" s="63"/>
      <c r="I1858" s="61"/>
      <c r="J1858" s="61"/>
      <c r="K1858" s="61"/>
      <c r="L1858" s="61"/>
      <c r="M1858" s="61"/>
      <c r="N1858" s="61"/>
      <c r="O1858" s="61"/>
      <c r="P1858" s="61"/>
      <c r="Q1858" s="61"/>
      <c r="R1858" s="61"/>
      <c r="S1858" s="61"/>
      <c r="T1858" s="61"/>
      <c r="U1858" s="61"/>
      <c r="V1858" s="61"/>
      <c r="W1858" s="61"/>
      <c r="X1858" s="61"/>
      <c r="Y1858" s="61"/>
      <c r="Z1858" s="61"/>
    </row>
    <row r="1859" ht="15.75" customHeight="1">
      <c r="A1859" s="61"/>
      <c r="B1859" s="61"/>
      <c r="C1859" s="61"/>
      <c r="D1859" s="61"/>
      <c r="E1859" s="61"/>
      <c r="F1859" s="61"/>
      <c r="G1859" s="61"/>
      <c r="H1859" s="63"/>
      <c r="I1859" s="61"/>
      <c r="J1859" s="61"/>
      <c r="K1859" s="61"/>
      <c r="L1859" s="61"/>
      <c r="M1859" s="61"/>
      <c r="N1859" s="61"/>
      <c r="O1859" s="61"/>
      <c r="P1859" s="61"/>
      <c r="Q1859" s="61"/>
      <c r="R1859" s="61"/>
      <c r="S1859" s="61"/>
      <c r="T1859" s="61"/>
      <c r="U1859" s="61"/>
      <c r="V1859" s="61"/>
      <c r="W1859" s="61"/>
      <c r="X1859" s="61"/>
      <c r="Y1859" s="61"/>
      <c r="Z1859" s="61"/>
    </row>
    <row r="1860" ht="15.75" customHeight="1">
      <c r="A1860" s="61"/>
      <c r="B1860" s="61"/>
      <c r="C1860" s="61"/>
      <c r="D1860" s="61"/>
      <c r="E1860" s="61"/>
      <c r="F1860" s="61"/>
      <c r="G1860" s="61"/>
      <c r="H1860" s="63"/>
      <c r="I1860" s="61"/>
      <c r="J1860" s="61"/>
      <c r="K1860" s="61"/>
      <c r="L1860" s="61"/>
      <c r="M1860" s="61"/>
      <c r="N1860" s="61"/>
      <c r="O1860" s="61"/>
      <c r="P1860" s="61"/>
      <c r="Q1860" s="61"/>
      <c r="R1860" s="61"/>
      <c r="S1860" s="61"/>
      <c r="T1860" s="61"/>
      <c r="U1860" s="61"/>
      <c r="V1860" s="61"/>
      <c r="W1860" s="61"/>
      <c r="X1860" s="61"/>
      <c r="Y1860" s="61"/>
      <c r="Z1860" s="61"/>
    </row>
    <row r="1861" ht="15.75" customHeight="1">
      <c r="A1861" s="61"/>
      <c r="B1861" s="61"/>
      <c r="C1861" s="61"/>
      <c r="D1861" s="61"/>
      <c r="E1861" s="61"/>
      <c r="F1861" s="61"/>
      <c r="G1861" s="61"/>
      <c r="H1861" s="63"/>
      <c r="I1861" s="61"/>
      <c r="J1861" s="61"/>
      <c r="K1861" s="61"/>
      <c r="L1861" s="61"/>
      <c r="M1861" s="61"/>
      <c r="N1861" s="61"/>
      <c r="O1861" s="61"/>
      <c r="P1861" s="61"/>
      <c r="Q1861" s="61"/>
      <c r="R1861" s="61"/>
      <c r="S1861" s="61"/>
      <c r="T1861" s="61"/>
      <c r="U1861" s="61"/>
      <c r="V1861" s="61"/>
      <c r="W1861" s="61"/>
      <c r="X1861" s="61"/>
      <c r="Y1861" s="61"/>
      <c r="Z1861" s="61"/>
    </row>
    <row r="1862" ht="15.75" customHeight="1">
      <c r="A1862" s="61"/>
      <c r="B1862" s="61"/>
      <c r="C1862" s="61"/>
      <c r="D1862" s="61"/>
      <c r="E1862" s="61"/>
      <c r="F1862" s="61"/>
      <c r="G1862" s="61"/>
      <c r="H1862" s="63"/>
      <c r="I1862" s="61"/>
      <c r="J1862" s="61"/>
      <c r="K1862" s="61"/>
      <c r="L1862" s="61"/>
      <c r="M1862" s="61"/>
      <c r="N1862" s="61"/>
      <c r="O1862" s="61"/>
      <c r="P1862" s="61"/>
      <c r="Q1862" s="61"/>
      <c r="R1862" s="61"/>
      <c r="S1862" s="61"/>
      <c r="T1862" s="61"/>
      <c r="U1862" s="61"/>
      <c r="V1862" s="61"/>
      <c r="W1862" s="61"/>
      <c r="X1862" s="61"/>
      <c r="Y1862" s="61"/>
      <c r="Z1862" s="61"/>
    </row>
    <row r="1863" ht="15.75" customHeight="1">
      <c r="A1863" s="61"/>
      <c r="B1863" s="61"/>
      <c r="C1863" s="61"/>
      <c r="D1863" s="61"/>
      <c r="E1863" s="61"/>
      <c r="F1863" s="61"/>
      <c r="G1863" s="61"/>
      <c r="H1863" s="63"/>
      <c r="I1863" s="61"/>
      <c r="J1863" s="61"/>
      <c r="K1863" s="61"/>
      <c r="L1863" s="61"/>
      <c r="M1863" s="61"/>
      <c r="N1863" s="61"/>
      <c r="O1863" s="61"/>
      <c r="P1863" s="61"/>
      <c r="Q1863" s="61"/>
      <c r="R1863" s="61"/>
      <c r="S1863" s="61"/>
      <c r="T1863" s="61"/>
      <c r="U1863" s="61"/>
      <c r="V1863" s="61"/>
      <c r="W1863" s="61"/>
      <c r="X1863" s="61"/>
      <c r="Y1863" s="61"/>
      <c r="Z1863" s="61"/>
    </row>
    <row r="1864" ht="15.75" customHeight="1">
      <c r="A1864" s="61"/>
      <c r="B1864" s="61"/>
      <c r="C1864" s="61"/>
      <c r="D1864" s="61"/>
      <c r="E1864" s="61"/>
      <c r="F1864" s="61"/>
      <c r="G1864" s="61"/>
      <c r="H1864" s="63"/>
      <c r="I1864" s="61"/>
      <c r="J1864" s="61"/>
      <c r="K1864" s="61"/>
      <c r="L1864" s="61"/>
      <c r="M1864" s="61"/>
      <c r="N1864" s="61"/>
      <c r="O1864" s="61"/>
      <c r="P1864" s="61"/>
      <c r="Q1864" s="61"/>
      <c r="R1864" s="61"/>
      <c r="S1864" s="61"/>
      <c r="T1864" s="61"/>
      <c r="U1864" s="61"/>
      <c r="V1864" s="61"/>
      <c r="W1864" s="61"/>
      <c r="X1864" s="61"/>
      <c r="Y1864" s="61"/>
      <c r="Z1864" s="61"/>
    </row>
    <row r="1865" ht="15.75" customHeight="1">
      <c r="A1865" s="61"/>
      <c r="B1865" s="61"/>
      <c r="C1865" s="61"/>
      <c r="D1865" s="61"/>
      <c r="E1865" s="61"/>
      <c r="F1865" s="61"/>
      <c r="G1865" s="61"/>
      <c r="H1865" s="63"/>
      <c r="I1865" s="61"/>
      <c r="J1865" s="61"/>
      <c r="K1865" s="61"/>
      <c r="L1865" s="61"/>
      <c r="M1865" s="61"/>
      <c r="N1865" s="61"/>
      <c r="O1865" s="61"/>
      <c r="P1865" s="61"/>
      <c r="Q1865" s="61"/>
      <c r="R1865" s="61"/>
      <c r="S1865" s="61"/>
      <c r="T1865" s="61"/>
      <c r="U1865" s="61"/>
      <c r="V1865" s="61"/>
      <c r="W1865" s="61"/>
      <c r="X1865" s="61"/>
      <c r="Y1865" s="61"/>
      <c r="Z1865" s="61"/>
    </row>
    <row r="1866" ht="15.75" customHeight="1">
      <c r="A1866" s="61"/>
      <c r="B1866" s="61"/>
      <c r="C1866" s="61"/>
      <c r="D1866" s="61"/>
      <c r="E1866" s="61"/>
      <c r="F1866" s="61"/>
      <c r="G1866" s="61"/>
      <c r="H1866" s="63"/>
      <c r="I1866" s="61"/>
      <c r="J1866" s="61"/>
      <c r="K1866" s="61"/>
      <c r="L1866" s="61"/>
      <c r="M1866" s="61"/>
      <c r="N1866" s="61"/>
      <c r="O1866" s="61"/>
      <c r="P1866" s="61"/>
      <c r="Q1866" s="61"/>
      <c r="R1866" s="61"/>
      <c r="S1866" s="61"/>
      <c r="T1866" s="61"/>
      <c r="U1866" s="61"/>
      <c r="V1866" s="61"/>
      <c r="W1866" s="61"/>
      <c r="X1866" s="61"/>
      <c r="Y1866" s="61"/>
      <c r="Z1866" s="61"/>
    </row>
    <row r="1867" ht="15.75" customHeight="1">
      <c r="A1867" s="61"/>
      <c r="B1867" s="61"/>
      <c r="C1867" s="61"/>
      <c r="D1867" s="61"/>
      <c r="E1867" s="61"/>
      <c r="F1867" s="61"/>
      <c r="G1867" s="61"/>
      <c r="H1867" s="63"/>
      <c r="I1867" s="61"/>
      <c r="J1867" s="61"/>
      <c r="K1867" s="61"/>
      <c r="L1867" s="61"/>
      <c r="M1867" s="61"/>
      <c r="N1867" s="61"/>
      <c r="O1867" s="61"/>
      <c r="P1867" s="61"/>
      <c r="Q1867" s="61"/>
      <c r="R1867" s="61"/>
      <c r="S1867" s="61"/>
      <c r="T1867" s="61"/>
      <c r="U1867" s="61"/>
      <c r="V1867" s="61"/>
      <c r="W1867" s="61"/>
      <c r="X1867" s="61"/>
      <c r="Y1867" s="61"/>
      <c r="Z1867" s="61"/>
    </row>
    <row r="1868" ht="15.75" customHeight="1">
      <c r="A1868" s="61"/>
      <c r="B1868" s="61"/>
      <c r="C1868" s="61"/>
      <c r="D1868" s="61"/>
      <c r="E1868" s="61"/>
      <c r="F1868" s="61"/>
      <c r="G1868" s="61"/>
      <c r="H1868" s="63"/>
      <c r="I1868" s="61"/>
      <c r="J1868" s="61"/>
      <c r="K1868" s="61"/>
      <c r="L1868" s="61"/>
      <c r="M1868" s="61"/>
      <c r="N1868" s="61"/>
      <c r="O1868" s="61"/>
      <c r="P1868" s="61"/>
      <c r="Q1868" s="61"/>
      <c r="R1868" s="61"/>
      <c r="S1868" s="61"/>
      <c r="T1868" s="61"/>
      <c r="U1868" s="61"/>
      <c r="V1868" s="61"/>
      <c r="W1868" s="61"/>
      <c r="X1868" s="61"/>
      <c r="Y1868" s="61"/>
      <c r="Z1868" s="61"/>
    </row>
    <row r="1869" ht="15.75" customHeight="1">
      <c r="A1869" s="61"/>
      <c r="B1869" s="61"/>
      <c r="C1869" s="61"/>
      <c r="D1869" s="61"/>
      <c r="E1869" s="61"/>
      <c r="F1869" s="61"/>
      <c r="G1869" s="61"/>
      <c r="H1869" s="63"/>
      <c r="I1869" s="61"/>
      <c r="J1869" s="61"/>
      <c r="K1869" s="61"/>
      <c r="L1869" s="61"/>
      <c r="M1869" s="61"/>
      <c r="N1869" s="61"/>
      <c r="O1869" s="61"/>
      <c r="P1869" s="61"/>
      <c r="Q1869" s="61"/>
      <c r="R1869" s="61"/>
      <c r="S1869" s="61"/>
      <c r="T1869" s="61"/>
      <c r="U1869" s="61"/>
      <c r="V1869" s="61"/>
      <c r="W1869" s="61"/>
      <c r="X1869" s="61"/>
      <c r="Y1869" s="61"/>
      <c r="Z1869" s="61"/>
    </row>
    <row r="1870" ht="15.75" customHeight="1">
      <c r="A1870" s="61"/>
      <c r="B1870" s="61"/>
      <c r="C1870" s="61"/>
      <c r="D1870" s="61"/>
      <c r="E1870" s="61"/>
      <c r="F1870" s="61"/>
      <c r="G1870" s="61"/>
      <c r="H1870" s="63"/>
      <c r="I1870" s="61"/>
      <c r="J1870" s="61"/>
      <c r="K1870" s="61"/>
      <c r="L1870" s="61"/>
      <c r="M1870" s="61"/>
      <c r="N1870" s="61"/>
      <c r="O1870" s="61"/>
      <c r="P1870" s="61"/>
      <c r="Q1870" s="61"/>
      <c r="R1870" s="61"/>
      <c r="S1870" s="61"/>
      <c r="T1870" s="61"/>
      <c r="U1870" s="61"/>
      <c r="V1870" s="61"/>
      <c r="W1870" s="61"/>
      <c r="X1870" s="61"/>
      <c r="Y1870" s="61"/>
      <c r="Z1870" s="61"/>
    </row>
    <row r="1871" ht="15.75" customHeight="1">
      <c r="A1871" s="61"/>
      <c r="B1871" s="61"/>
      <c r="C1871" s="61"/>
      <c r="D1871" s="61"/>
      <c r="E1871" s="61"/>
      <c r="F1871" s="61"/>
      <c r="G1871" s="61"/>
      <c r="H1871" s="63"/>
      <c r="I1871" s="61"/>
      <c r="J1871" s="61"/>
      <c r="K1871" s="61"/>
      <c r="L1871" s="61"/>
      <c r="M1871" s="61"/>
      <c r="N1871" s="61"/>
      <c r="O1871" s="61"/>
      <c r="P1871" s="61"/>
      <c r="Q1871" s="61"/>
      <c r="R1871" s="61"/>
      <c r="S1871" s="61"/>
      <c r="T1871" s="61"/>
      <c r="U1871" s="61"/>
      <c r="V1871" s="61"/>
      <c r="W1871" s="61"/>
      <c r="X1871" s="61"/>
      <c r="Y1871" s="61"/>
      <c r="Z1871" s="61"/>
    </row>
    <row r="1872" ht="15.75" customHeight="1">
      <c r="A1872" s="61"/>
      <c r="B1872" s="61"/>
      <c r="C1872" s="61"/>
      <c r="D1872" s="61"/>
      <c r="E1872" s="61"/>
      <c r="F1872" s="61"/>
      <c r="G1872" s="61"/>
      <c r="H1872" s="63"/>
      <c r="I1872" s="61"/>
      <c r="J1872" s="61"/>
      <c r="K1872" s="61"/>
      <c r="L1872" s="61"/>
      <c r="M1872" s="61"/>
      <c r="N1872" s="61"/>
      <c r="O1872" s="61"/>
      <c r="P1872" s="61"/>
      <c r="Q1872" s="61"/>
      <c r="R1872" s="61"/>
      <c r="S1872" s="61"/>
      <c r="T1872" s="61"/>
      <c r="U1872" s="61"/>
      <c r="V1872" s="61"/>
      <c r="W1872" s="61"/>
      <c r="X1872" s="61"/>
      <c r="Y1872" s="61"/>
      <c r="Z1872" s="61"/>
    </row>
    <row r="1873" ht="15.75" customHeight="1">
      <c r="A1873" s="61"/>
      <c r="B1873" s="61"/>
      <c r="C1873" s="61"/>
      <c r="D1873" s="61"/>
      <c r="E1873" s="61"/>
      <c r="F1873" s="61"/>
      <c r="G1873" s="61"/>
      <c r="H1873" s="63"/>
      <c r="I1873" s="61"/>
      <c r="J1873" s="61"/>
      <c r="K1873" s="61"/>
      <c r="L1873" s="61"/>
      <c r="M1873" s="61"/>
      <c r="N1873" s="61"/>
      <c r="O1873" s="61"/>
      <c r="P1873" s="61"/>
      <c r="Q1873" s="61"/>
      <c r="R1873" s="61"/>
      <c r="S1873" s="61"/>
      <c r="T1873" s="61"/>
      <c r="U1873" s="61"/>
      <c r="V1873" s="61"/>
      <c r="W1873" s="61"/>
      <c r="X1873" s="61"/>
      <c r="Y1873" s="61"/>
      <c r="Z1873" s="61"/>
    </row>
    <row r="1874" ht="15.75" customHeight="1">
      <c r="A1874" s="61"/>
      <c r="B1874" s="61"/>
      <c r="C1874" s="61"/>
      <c r="D1874" s="61"/>
      <c r="E1874" s="61"/>
      <c r="F1874" s="61"/>
      <c r="G1874" s="61"/>
      <c r="H1874" s="63"/>
      <c r="I1874" s="61"/>
      <c r="J1874" s="61"/>
      <c r="K1874" s="61"/>
      <c r="L1874" s="61"/>
      <c r="M1874" s="61"/>
      <c r="N1874" s="61"/>
      <c r="O1874" s="61"/>
      <c r="P1874" s="61"/>
      <c r="Q1874" s="61"/>
      <c r="R1874" s="61"/>
      <c r="S1874" s="61"/>
      <c r="T1874" s="61"/>
      <c r="U1874" s="61"/>
      <c r="V1874" s="61"/>
      <c r="W1874" s="61"/>
      <c r="X1874" s="61"/>
      <c r="Y1874" s="61"/>
      <c r="Z1874" s="61"/>
    </row>
    <row r="1875" ht="15.75" customHeight="1">
      <c r="A1875" s="61"/>
      <c r="B1875" s="61"/>
      <c r="C1875" s="61"/>
      <c r="D1875" s="61"/>
      <c r="E1875" s="61"/>
      <c r="F1875" s="61"/>
      <c r="G1875" s="61"/>
      <c r="H1875" s="63"/>
      <c r="I1875" s="61"/>
      <c r="J1875" s="61"/>
      <c r="K1875" s="61"/>
      <c r="L1875" s="61"/>
      <c r="M1875" s="61"/>
      <c r="N1875" s="61"/>
      <c r="O1875" s="61"/>
      <c r="P1875" s="61"/>
      <c r="Q1875" s="61"/>
      <c r="R1875" s="61"/>
      <c r="S1875" s="61"/>
      <c r="T1875" s="61"/>
      <c r="U1875" s="61"/>
      <c r="V1875" s="61"/>
      <c r="W1875" s="61"/>
      <c r="X1875" s="61"/>
      <c r="Y1875" s="61"/>
      <c r="Z1875" s="61"/>
    </row>
    <row r="1876" ht="15.75" customHeight="1">
      <c r="A1876" s="61"/>
      <c r="B1876" s="61"/>
      <c r="C1876" s="61"/>
      <c r="D1876" s="61"/>
      <c r="E1876" s="61"/>
      <c r="F1876" s="61"/>
      <c r="G1876" s="61"/>
      <c r="H1876" s="63"/>
      <c r="I1876" s="61"/>
      <c r="J1876" s="61"/>
      <c r="K1876" s="61"/>
      <c r="L1876" s="61"/>
      <c r="M1876" s="61"/>
      <c r="N1876" s="61"/>
      <c r="O1876" s="61"/>
      <c r="P1876" s="61"/>
      <c r="Q1876" s="61"/>
      <c r="R1876" s="61"/>
      <c r="S1876" s="61"/>
      <c r="T1876" s="61"/>
      <c r="U1876" s="61"/>
      <c r="V1876" s="61"/>
      <c r="W1876" s="61"/>
      <c r="X1876" s="61"/>
      <c r="Y1876" s="61"/>
      <c r="Z1876" s="61"/>
    </row>
    <row r="1877" ht="15.75" customHeight="1">
      <c r="A1877" s="61"/>
      <c r="B1877" s="61"/>
      <c r="C1877" s="61"/>
      <c r="D1877" s="61"/>
      <c r="E1877" s="61"/>
      <c r="F1877" s="61"/>
      <c r="G1877" s="61"/>
      <c r="H1877" s="63"/>
      <c r="I1877" s="61"/>
      <c r="J1877" s="61"/>
      <c r="K1877" s="61"/>
      <c r="L1877" s="61"/>
      <c r="M1877" s="61"/>
      <c r="N1877" s="61"/>
      <c r="O1877" s="61"/>
      <c r="P1877" s="61"/>
      <c r="Q1877" s="61"/>
      <c r="R1877" s="61"/>
      <c r="S1877" s="61"/>
      <c r="T1877" s="61"/>
      <c r="U1877" s="61"/>
      <c r="V1877" s="61"/>
      <c r="W1877" s="61"/>
      <c r="X1877" s="61"/>
      <c r="Y1877" s="61"/>
      <c r="Z1877" s="61"/>
    </row>
    <row r="1878" ht="15.75" customHeight="1">
      <c r="A1878" s="61"/>
      <c r="B1878" s="61"/>
      <c r="C1878" s="61"/>
      <c r="D1878" s="61"/>
      <c r="E1878" s="61"/>
      <c r="F1878" s="61"/>
      <c r="G1878" s="61"/>
      <c r="H1878" s="63"/>
      <c r="I1878" s="61"/>
      <c r="J1878" s="61"/>
      <c r="K1878" s="61"/>
      <c r="L1878" s="61"/>
      <c r="M1878" s="61"/>
      <c r="N1878" s="61"/>
      <c r="O1878" s="61"/>
      <c r="P1878" s="61"/>
      <c r="Q1878" s="61"/>
      <c r="R1878" s="61"/>
      <c r="S1878" s="61"/>
      <c r="T1878" s="61"/>
      <c r="U1878" s="61"/>
      <c r="V1878" s="61"/>
      <c r="W1878" s="61"/>
      <c r="X1878" s="61"/>
      <c r="Y1878" s="61"/>
      <c r="Z1878" s="61"/>
    </row>
    <row r="1879" ht="15.75" customHeight="1">
      <c r="A1879" s="61"/>
      <c r="B1879" s="61"/>
      <c r="C1879" s="61"/>
      <c r="D1879" s="61"/>
      <c r="E1879" s="61"/>
      <c r="F1879" s="61"/>
      <c r="G1879" s="61"/>
      <c r="H1879" s="63"/>
      <c r="I1879" s="61"/>
      <c r="J1879" s="61"/>
      <c r="K1879" s="61"/>
      <c r="L1879" s="61"/>
      <c r="M1879" s="61"/>
      <c r="N1879" s="61"/>
      <c r="O1879" s="61"/>
      <c r="P1879" s="61"/>
      <c r="Q1879" s="61"/>
      <c r="R1879" s="61"/>
      <c r="S1879" s="61"/>
      <c r="T1879" s="61"/>
      <c r="U1879" s="61"/>
      <c r="V1879" s="61"/>
      <c r="W1879" s="61"/>
      <c r="X1879" s="61"/>
      <c r="Y1879" s="61"/>
      <c r="Z1879" s="61"/>
    </row>
    <row r="1880" ht="15.75" customHeight="1">
      <c r="A1880" s="61"/>
      <c r="B1880" s="61"/>
      <c r="C1880" s="61"/>
      <c r="D1880" s="61"/>
      <c r="E1880" s="61"/>
      <c r="F1880" s="61"/>
      <c r="G1880" s="61"/>
      <c r="H1880" s="63"/>
      <c r="I1880" s="61"/>
      <c r="J1880" s="61"/>
      <c r="K1880" s="61"/>
      <c r="L1880" s="61"/>
      <c r="M1880" s="61"/>
      <c r="N1880" s="61"/>
      <c r="O1880" s="61"/>
      <c r="P1880" s="61"/>
      <c r="Q1880" s="61"/>
      <c r="R1880" s="61"/>
      <c r="S1880" s="61"/>
      <c r="T1880" s="61"/>
      <c r="U1880" s="61"/>
      <c r="V1880" s="61"/>
      <c r="W1880" s="61"/>
      <c r="X1880" s="61"/>
      <c r="Y1880" s="61"/>
      <c r="Z1880" s="61"/>
    </row>
    <row r="1881" ht="15.75" customHeight="1">
      <c r="A1881" s="61"/>
      <c r="B1881" s="61"/>
      <c r="C1881" s="61"/>
      <c r="D1881" s="61"/>
      <c r="E1881" s="61"/>
      <c r="F1881" s="61"/>
      <c r="G1881" s="61"/>
      <c r="H1881" s="63"/>
      <c r="I1881" s="61"/>
      <c r="J1881" s="61"/>
      <c r="K1881" s="61"/>
      <c r="L1881" s="61"/>
      <c r="M1881" s="61"/>
      <c r="N1881" s="61"/>
      <c r="O1881" s="61"/>
      <c r="P1881" s="61"/>
      <c r="Q1881" s="61"/>
      <c r="R1881" s="61"/>
      <c r="S1881" s="61"/>
      <c r="T1881" s="61"/>
      <c r="U1881" s="61"/>
      <c r="V1881" s="61"/>
      <c r="W1881" s="61"/>
      <c r="X1881" s="61"/>
      <c r="Y1881" s="61"/>
      <c r="Z1881" s="61"/>
    </row>
    <row r="1882" ht="15.75" customHeight="1">
      <c r="A1882" s="61"/>
      <c r="B1882" s="61"/>
      <c r="C1882" s="61"/>
      <c r="D1882" s="61"/>
      <c r="E1882" s="61"/>
      <c r="F1882" s="61"/>
      <c r="G1882" s="61"/>
      <c r="H1882" s="63"/>
      <c r="I1882" s="61"/>
      <c r="J1882" s="61"/>
      <c r="K1882" s="61"/>
      <c r="L1882" s="61"/>
      <c r="M1882" s="61"/>
      <c r="N1882" s="61"/>
      <c r="O1882" s="61"/>
      <c r="P1882" s="61"/>
      <c r="Q1882" s="61"/>
      <c r="R1882" s="61"/>
      <c r="S1882" s="61"/>
      <c r="T1882" s="61"/>
      <c r="U1882" s="61"/>
      <c r="V1882" s="61"/>
      <c r="W1882" s="61"/>
      <c r="X1882" s="61"/>
      <c r="Y1882" s="61"/>
      <c r="Z1882" s="61"/>
    </row>
    <row r="1883" ht="15.75" customHeight="1">
      <c r="A1883" s="61"/>
      <c r="B1883" s="61"/>
      <c r="C1883" s="61"/>
      <c r="D1883" s="61"/>
      <c r="E1883" s="61"/>
      <c r="F1883" s="61"/>
      <c r="G1883" s="61"/>
      <c r="H1883" s="63"/>
      <c r="I1883" s="61"/>
      <c r="J1883" s="61"/>
      <c r="K1883" s="61"/>
      <c r="L1883" s="61"/>
      <c r="M1883" s="61"/>
      <c r="N1883" s="61"/>
      <c r="O1883" s="61"/>
      <c r="P1883" s="61"/>
      <c r="Q1883" s="61"/>
      <c r="R1883" s="61"/>
      <c r="S1883" s="61"/>
      <c r="T1883" s="61"/>
      <c r="U1883" s="61"/>
      <c r="V1883" s="61"/>
      <c r="W1883" s="61"/>
      <c r="X1883" s="61"/>
      <c r="Y1883" s="61"/>
      <c r="Z1883" s="61"/>
    </row>
    <row r="1884" ht="15.75" customHeight="1">
      <c r="A1884" s="61"/>
      <c r="B1884" s="61"/>
      <c r="C1884" s="61"/>
      <c r="D1884" s="61"/>
      <c r="E1884" s="61"/>
      <c r="F1884" s="61"/>
      <c r="G1884" s="61"/>
      <c r="H1884" s="63"/>
      <c r="I1884" s="61"/>
      <c r="J1884" s="61"/>
      <c r="K1884" s="61"/>
      <c r="L1884" s="61"/>
      <c r="M1884" s="61"/>
      <c r="N1884" s="61"/>
      <c r="O1884" s="61"/>
      <c r="P1884" s="61"/>
      <c r="Q1884" s="61"/>
      <c r="R1884" s="61"/>
      <c r="S1884" s="61"/>
      <c r="T1884" s="61"/>
      <c r="U1884" s="61"/>
      <c r="V1884" s="61"/>
      <c r="W1884" s="61"/>
      <c r="X1884" s="61"/>
      <c r="Y1884" s="61"/>
      <c r="Z1884" s="61"/>
    </row>
    <row r="1885" ht="15.75" customHeight="1">
      <c r="A1885" s="61"/>
      <c r="B1885" s="61"/>
      <c r="C1885" s="61"/>
      <c r="D1885" s="61"/>
      <c r="E1885" s="61"/>
      <c r="F1885" s="61"/>
      <c r="G1885" s="61"/>
      <c r="H1885" s="63"/>
      <c r="I1885" s="61"/>
      <c r="J1885" s="61"/>
      <c r="K1885" s="61"/>
      <c r="L1885" s="61"/>
      <c r="M1885" s="61"/>
      <c r="N1885" s="61"/>
      <c r="O1885" s="61"/>
      <c r="P1885" s="61"/>
      <c r="Q1885" s="61"/>
      <c r="R1885" s="61"/>
      <c r="S1885" s="61"/>
      <c r="T1885" s="61"/>
      <c r="U1885" s="61"/>
      <c r="V1885" s="61"/>
      <c r="W1885" s="61"/>
      <c r="X1885" s="61"/>
      <c r="Y1885" s="61"/>
      <c r="Z1885" s="61"/>
    </row>
    <row r="1886" ht="15.75" customHeight="1">
      <c r="A1886" s="61"/>
      <c r="B1886" s="61"/>
      <c r="C1886" s="61"/>
      <c r="D1886" s="61"/>
      <c r="E1886" s="61"/>
      <c r="F1886" s="61"/>
      <c r="G1886" s="61"/>
      <c r="H1886" s="63"/>
      <c r="I1886" s="61"/>
      <c r="J1886" s="61"/>
      <c r="K1886" s="61"/>
      <c r="L1886" s="61"/>
      <c r="M1886" s="61"/>
      <c r="N1886" s="61"/>
      <c r="O1886" s="61"/>
      <c r="P1886" s="61"/>
      <c r="Q1886" s="61"/>
      <c r="R1886" s="61"/>
      <c r="S1886" s="61"/>
      <c r="T1886" s="61"/>
      <c r="U1886" s="61"/>
      <c r="V1886" s="61"/>
      <c r="W1886" s="61"/>
      <c r="X1886" s="61"/>
      <c r="Y1886" s="61"/>
      <c r="Z1886" s="61"/>
    </row>
    <row r="1887" ht="15.75" customHeight="1">
      <c r="A1887" s="61"/>
      <c r="B1887" s="61"/>
      <c r="C1887" s="61"/>
      <c r="D1887" s="61"/>
      <c r="E1887" s="61"/>
      <c r="F1887" s="61"/>
      <c r="G1887" s="61"/>
      <c r="H1887" s="63"/>
      <c r="I1887" s="61"/>
      <c r="J1887" s="61"/>
      <c r="K1887" s="61"/>
      <c r="L1887" s="61"/>
      <c r="M1887" s="61"/>
      <c r="N1887" s="61"/>
      <c r="O1887" s="61"/>
      <c r="P1887" s="61"/>
      <c r="Q1887" s="61"/>
      <c r="R1887" s="61"/>
      <c r="S1887" s="61"/>
      <c r="T1887" s="61"/>
      <c r="U1887" s="61"/>
      <c r="V1887" s="61"/>
      <c r="W1887" s="61"/>
      <c r="X1887" s="61"/>
      <c r="Y1887" s="61"/>
      <c r="Z1887" s="61"/>
    </row>
    <row r="1888" ht="15.75" customHeight="1">
      <c r="A1888" s="61"/>
      <c r="B1888" s="61"/>
      <c r="C1888" s="61"/>
      <c r="D1888" s="61"/>
      <c r="E1888" s="61"/>
      <c r="F1888" s="61"/>
      <c r="G1888" s="61"/>
      <c r="H1888" s="63"/>
      <c r="I1888" s="61"/>
      <c r="J1888" s="61"/>
      <c r="K1888" s="61"/>
      <c r="L1888" s="61"/>
      <c r="M1888" s="61"/>
      <c r="N1888" s="61"/>
      <c r="O1888" s="61"/>
      <c r="P1888" s="61"/>
      <c r="Q1888" s="61"/>
      <c r="R1888" s="61"/>
      <c r="S1888" s="61"/>
      <c r="T1888" s="61"/>
      <c r="U1888" s="61"/>
      <c r="V1888" s="61"/>
      <c r="W1888" s="61"/>
      <c r="X1888" s="61"/>
      <c r="Y1888" s="61"/>
      <c r="Z1888" s="61"/>
    </row>
    <row r="1889" ht="15.75" customHeight="1">
      <c r="A1889" s="61"/>
      <c r="B1889" s="61"/>
      <c r="C1889" s="61"/>
      <c r="D1889" s="61"/>
      <c r="E1889" s="61"/>
      <c r="F1889" s="61"/>
      <c r="G1889" s="61"/>
      <c r="H1889" s="63"/>
      <c r="I1889" s="61"/>
      <c r="J1889" s="61"/>
      <c r="K1889" s="61"/>
      <c r="L1889" s="61"/>
      <c r="M1889" s="61"/>
      <c r="N1889" s="61"/>
      <c r="O1889" s="61"/>
      <c r="P1889" s="61"/>
      <c r="Q1889" s="61"/>
      <c r="R1889" s="61"/>
      <c r="S1889" s="61"/>
      <c r="T1889" s="61"/>
      <c r="U1889" s="61"/>
      <c r="V1889" s="61"/>
      <c r="W1889" s="61"/>
      <c r="X1889" s="61"/>
      <c r="Y1889" s="61"/>
      <c r="Z1889" s="61"/>
    </row>
    <row r="1890" ht="15.75" customHeight="1">
      <c r="A1890" s="61"/>
      <c r="B1890" s="61"/>
      <c r="C1890" s="61"/>
      <c r="D1890" s="61"/>
      <c r="E1890" s="61"/>
      <c r="F1890" s="61"/>
      <c r="G1890" s="61"/>
      <c r="H1890" s="63"/>
      <c r="I1890" s="61"/>
      <c r="J1890" s="61"/>
      <c r="K1890" s="61"/>
      <c r="L1890" s="61"/>
      <c r="M1890" s="61"/>
      <c r="N1890" s="61"/>
      <c r="O1890" s="61"/>
      <c r="P1890" s="61"/>
      <c r="Q1890" s="61"/>
      <c r="R1890" s="61"/>
      <c r="S1890" s="61"/>
      <c r="T1890" s="61"/>
      <c r="U1890" s="61"/>
      <c r="V1890" s="61"/>
      <c r="W1890" s="61"/>
      <c r="X1890" s="61"/>
      <c r="Y1890" s="61"/>
      <c r="Z1890" s="61"/>
    </row>
    <row r="1891" ht="15.75" customHeight="1">
      <c r="A1891" s="61"/>
      <c r="B1891" s="61"/>
      <c r="C1891" s="61"/>
      <c r="D1891" s="61"/>
      <c r="E1891" s="61"/>
      <c r="F1891" s="61"/>
      <c r="G1891" s="61"/>
      <c r="H1891" s="63"/>
      <c r="I1891" s="61"/>
      <c r="J1891" s="61"/>
      <c r="K1891" s="61"/>
      <c r="L1891" s="61"/>
      <c r="M1891" s="61"/>
      <c r="N1891" s="61"/>
      <c r="O1891" s="61"/>
      <c r="P1891" s="61"/>
      <c r="Q1891" s="61"/>
      <c r="R1891" s="61"/>
      <c r="S1891" s="61"/>
      <c r="T1891" s="61"/>
      <c r="U1891" s="61"/>
      <c r="V1891" s="61"/>
      <c r="W1891" s="61"/>
      <c r="X1891" s="61"/>
      <c r="Y1891" s="61"/>
      <c r="Z1891" s="61"/>
    </row>
    <row r="1892" ht="15.75" customHeight="1">
      <c r="A1892" s="61"/>
      <c r="B1892" s="61"/>
      <c r="C1892" s="61"/>
      <c r="D1892" s="61"/>
      <c r="E1892" s="61"/>
      <c r="F1892" s="61"/>
      <c r="G1892" s="61"/>
      <c r="H1892" s="63"/>
      <c r="I1892" s="61"/>
      <c r="J1892" s="61"/>
      <c r="K1892" s="61"/>
      <c r="L1892" s="61"/>
      <c r="M1892" s="61"/>
      <c r="N1892" s="61"/>
      <c r="O1892" s="61"/>
      <c r="P1892" s="61"/>
      <c r="Q1892" s="61"/>
      <c r="R1892" s="61"/>
      <c r="S1892" s="61"/>
      <c r="T1892" s="61"/>
      <c r="U1892" s="61"/>
      <c r="V1892" s="61"/>
      <c r="W1892" s="61"/>
      <c r="X1892" s="61"/>
      <c r="Y1892" s="61"/>
      <c r="Z1892" s="61"/>
    </row>
    <row r="1893" ht="15.75" customHeight="1">
      <c r="A1893" s="61"/>
      <c r="B1893" s="61"/>
      <c r="C1893" s="61"/>
      <c r="D1893" s="61"/>
      <c r="E1893" s="61"/>
      <c r="F1893" s="61"/>
      <c r="G1893" s="61"/>
      <c r="H1893" s="63"/>
      <c r="I1893" s="61"/>
      <c r="J1893" s="61"/>
      <c r="K1893" s="61"/>
      <c r="L1893" s="61"/>
      <c r="M1893" s="61"/>
      <c r="N1893" s="61"/>
      <c r="O1893" s="61"/>
      <c r="P1893" s="61"/>
      <c r="Q1893" s="61"/>
      <c r="R1893" s="61"/>
      <c r="S1893" s="61"/>
      <c r="T1893" s="61"/>
      <c r="U1893" s="61"/>
      <c r="V1893" s="61"/>
      <c r="W1893" s="61"/>
      <c r="X1893" s="61"/>
      <c r="Y1893" s="61"/>
      <c r="Z1893" s="61"/>
    </row>
    <row r="1894" ht="15.75" customHeight="1">
      <c r="A1894" s="61"/>
      <c r="B1894" s="61"/>
      <c r="C1894" s="61"/>
      <c r="D1894" s="61"/>
      <c r="E1894" s="61"/>
      <c r="F1894" s="61"/>
      <c r="G1894" s="61"/>
      <c r="H1894" s="63"/>
      <c r="I1894" s="61"/>
      <c r="J1894" s="61"/>
      <c r="K1894" s="61"/>
      <c r="L1894" s="61"/>
      <c r="M1894" s="61"/>
      <c r="N1894" s="61"/>
      <c r="O1894" s="61"/>
      <c r="P1894" s="61"/>
      <c r="Q1894" s="61"/>
      <c r="R1894" s="61"/>
      <c r="S1894" s="61"/>
      <c r="T1894" s="61"/>
      <c r="U1894" s="61"/>
      <c r="V1894" s="61"/>
      <c r="W1894" s="61"/>
      <c r="X1894" s="61"/>
      <c r="Y1894" s="61"/>
      <c r="Z1894" s="61"/>
    </row>
    <row r="1895" ht="15.75" customHeight="1">
      <c r="A1895" s="61"/>
      <c r="B1895" s="61"/>
      <c r="C1895" s="61"/>
      <c r="D1895" s="61"/>
      <c r="E1895" s="61"/>
      <c r="F1895" s="61"/>
      <c r="G1895" s="61"/>
      <c r="H1895" s="63"/>
      <c r="I1895" s="61"/>
      <c r="J1895" s="61"/>
      <c r="K1895" s="61"/>
      <c r="L1895" s="61"/>
      <c r="M1895" s="61"/>
      <c r="N1895" s="61"/>
      <c r="O1895" s="61"/>
      <c r="P1895" s="61"/>
      <c r="Q1895" s="61"/>
      <c r="R1895" s="61"/>
      <c r="S1895" s="61"/>
      <c r="T1895" s="61"/>
      <c r="U1895" s="61"/>
      <c r="V1895" s="61"/>
      <c r="W1895" s="61"/>
      <c r="X1895" s="61"/>
      <c r="Y1895" s="61"/>
      <c r="Z1895" s="61"/>
    </row>
    <row r="1896" ht="15.75" customHeight="1">
      <c r="A1896" s="61"/>
      <c r="B1896" s="61"/>
      <c r="C1896" s="61"/>
      <c r="D1896" s="61"/>
      <c r="E1896" s="61"/>
      <c r="F1896" s="61"/>
      <c r="G1896" s="61"/>
      <c r="H1896" s="63"/>
      <c r="I1896" s="61"/>
      <c r="J1896" s="61"/>
      <c r="K1896" s="61"/>
      <c r="L1896" s="61"/>
      <c r="M1896" s="61"/>
      <c r="N1896" s="61"/>
      <c r="O1896" s="61"/>
      <c r="P1896" s="61"/>
      <c r="Q1896" s="61"/>
      <c r="R1896" s="61"/>
      <c r="S1896" s="61"/>
      <c r="T1896" s="61"/>
      <c r="U1896" s="61"/>
      <c r="V1896" s="61"/>
      <c r="W1896" s="61"/>
      <c r="X1896" s="61"/>
      <c r="Y1896" s="61"/>
      <c r="Z1896" s="61"/>
    </row>
    <row r="1897" ht="15.75" customHeight="1">
      <c r="A1897" s="61"/>
      <c r="B1897" s="61"/>
      <c r="C1897" s="61"/>
      <c r="D1897" s="61"/>
      <c r="E1897" s="61"/>
      <c r="F1897" s="61"/>
      <c r="G1897" s="61"/>
      <c r="H1897" s="63"/>
      <c r="I1897" s="61"/>
      <c r="J1897" s="61"/>
      <c r="K1897" s="61"/>
      <c r="L1897" s="61"/>
      <c r="M1897" s="61"/>
      <c r="N1897" s="61"/>
      <c r="O1897" s="61"/>
      <c r="P1897" s="61"/>
      <c r="Q1897" s="61"/>
      <c r="R1897" s="61"/>
      <c r="S1897" s="61"/>
      <c r="T1897" s="61"/>
      <c r="U1897" s="61"/>
      <c r="V1897" s="61"/>
      <c r="W1897" s="61"/>
      <c r="X1897" s="61"/>
      <c r="Y1897" s="61"/>
      <c r="Z1897" s="61"/>
    </row>
    <row r="1898" ht="15.75" customHeight="1">
      <c r="A1898" s="61"/>
      <c r="B1898" s="61"/>
      <c r="C1898" s="61"/>
      <c r="D1898" s="61"/>
      <c r="E1898" s="61"/>
      <c r="F1898" s="61"/>
      <c r="G1898" s="61"/>
      <c r="H1898" s="63"/>
      <c r="I1898" s="61"/>
      <c r="J1898" s="61"/>
      <c r="K1898" s="61"/>
      <c r="L1898" s="61"/>
      <c r="M1898" s="61"/>
      <c r="N1898" s="61"/>
      <c r="O1898" s="61"/>
      <c r="P1898" s="61"/>
      <c r="Q1898" s="61"/>
      <c r="R1898" s="61"/>
      <c r="S1898" s="61"/>
      <c r="T1898" s="61"/>
      <c r="U1898" s="61"/>
      <c r="V1898" s="61"/>
      <c r="W1898" s="61"/>
      <c r="X1898" s="61"/>
      <c r="Y1898" s="61"/>
      <c r="Z1898" s="61"/>
    </row>
    <row r="1899" ht="15.75" customHeight="1">
      <c r="A1899" s="61"/>
      <c r="B1899" s="61"/>
      <c r="C1899" s="61"/>
      <c r="D1899" s="61"/>
      <c r="E1899" s="61"/>
      <c r="F1899" s="61"/>
      <c r="G1899" s="61"/>
      <c r="H1899" s="63"/>
      <c r="I1899" s="61"/>
      <c r="J1899" s="61"/>
      <c r="K1899" s="61"/>
      <c r="L1899" s="61"/>
      <c r="M1899" s="61"/>
      <c r="N1899" s="61"/>
      <c r="O1899" s="61"/>
      <c r="P1899" s="61"/>
      <c r="Q1899" s="61"/>
      <c r="R1899" s="61"/>
      <c r="S1899" s="61"/>
      <c r="T1899" s="61"/>
      <c r="U1899" s="61"/>
      <c r="V1899" s="61"/>
      <c r="W1899" s="61"/>
      <c r="X1899" s="61"/>
      <c r="Y1899" s="61"/>
      <c r="Z1899" s="61"/>
    </row>
    <row r="1900" ht="15.75" customHeight="1">
      <c r="A1900" s="61"/>
      <c r="B1900" s="61"/>
      <c r="C1900" s="61"/>
      <c r="D1900" s="61"/>
      <c r="E1900" s="61"/>
      <c r="F1900" s="61"/>
      <c r="G1900" s="61"/>
      <c r="H1900" s="63"/>
      <c r="I1900" s="61"/>
      <c r="J1900" s="61"/>
      <c r="K1900" s="61"/>
      <c r="L1900" s="61"/>
      <c r="M1900" s="61"/>
      <c r="N1900" s="61"/>
      <c r="O1900" s="61"/>
      <c r="P1900" s="61"/>
      <c r="Q1900" s="61"/>
      <c r="R1900" s="61"/>
      <c r="S1900" s="61"/>
      <c r="T1900" s="61"/>
      <c r="U1900" s="61"/>
      <c r="V1900" s="61"/>
      <c r="W1900" s="61"/>
      <c r="X1900" s="61"/>
      <c r="Y1900" s="61"/>
      <c r="Z1900" s="61"/>
    </row>
    <row r="1901" ht="15.75" customHeight="1">
      <c r="A1901" s="61"/>
      <c r="B1901" s="61"/>
      <c r="C1901" s="61"/>
      <c r="D1901" s="61"/>
      <c r="E1901" s="61"/>
      <c r="F1901" s="61"/>
      <c r="G1901" s="61"/>
      <c r="H1901" s="63"/>
      <c r="I1901" s="61"/>
      <c r="J1901" s="61"/>
      <c r="K1901" s="61"/>
      <c r="L1901" s="61"/>
      <c r="M1901" s="61"/>
      <c r="N1901" s="61"/>
      <c r="O1901" s="61"/>
      <c r="P1901" s="61"/>
      <c r="Q1901" s="61"/>
      <c r="R1901" s="61"/>
      <c r="S1901" s="61"/>
      <c r="T1901" s="61"/>
      <c r="U1901" s="61"/>
      <c r="V1901" s="61"/>
      <c r="W1901" s="61"/>
      <c r="X1901" s="61"/>
      <c r="Y1901" s="61"/>
      <c r="Z1901" s="61"/>
    </row>
    <row r="1902" ht="15.75" customHeight="1">
      <c r="A1902" s="61"/>
      <c r="B1902" s="61"/>
      <c r="C1902" s="61"/>
      <c r="D1902" s="61"/>
      <c r="E1902" s="61"/>
      <c r="F1902" s="61"/>
      <c r="G1902" s="61"/>
      <c r="H1902" s="63"/>
      <c r="I1902" s="61"/>
      <c r="J1902" s="61"/>
      <c r="K1902" s="61"/>
      <c r="L1902" s="61"/>
      <c r="M1902" s="61"/>
      <c r="N1902" s="61"/>
      <c r="O1902" s="61"/>
      <c r="P1902" s="61"/>
      <c r="Q1902" s="61"/>
      <c r="R1902" s="61"/>
      <c r="S1902" s="61"/>
      <c r="T1902" s="61"/>
      <c r="U1902" s="61"/>
      <c r="V1902" s="61"/>
      <c r="W1902" s="61"/>
      <c r="X1902" s="61"/>
      <c r="Y1902" s="61"/>
      <c r="Z1902" s="61"/>
    </row>
    <row r="1903" ht="15.75" customHeight="1">
      <c r="A1903" s="61"/>
      <c r="B1903" s="61"/>
      <c r="C1903" s="61"/>
      <c r="D1903" s="61"/>
      <c r="E1903" s="61"/>
      <c r="F1903" s="61"/>
      <c r="G1903" s="61"/>
      <c r="H1903" s="63"/>
      <c r="I1903" s="61"/>
      <c r="J1903" s="61"/>
      <c r="K1903" s="61"/>
      <c r="L1903" s="61"/>
      <c r="M1903" s="61"/>
      <c r="N1903" s="61"/>
      <c r="O1903" s="61"/>
      <c r="P1903" s="61"/>
      <c r="Q1903" s="61"/>
      <c r="R1903" s="61"/>
      <c r="S1903" s="61"/>
      <c r="T1903" s="61"/>
      <c r="U1903" s="61"/>
      <c r="V1903" s="61"/>
      <c r="W1903" s="61"/>
      <c r="X1903" s="61"/>
      <c r="Y1903" s="61"/>
      <c r="Z1903" s="61"/>
    </row>
    <row r="1904" ht="15.75" customHeight="1">
      <c r="A1904" s="61"/>
      <c r="B1904" s="61"/>
      <c r="C1904" s="61"/>
      <c r="D1904" s="61"/>
      <c r="E1904" s="61"/>
      <c r="F1904" s="61"/>
      <c r="G1904" s="61"/>
      <c r="H1904" s="63"/>
      <c r="I1904" s="61"/>
      <c r="J1904" s="61"/>
      <c r="K1904" s="61"/>
      <c r="L1904" s="61"/>
      <c r="M1904" s="61"/>
      <c r="N1904" s="61"/>
      <c r="O1904" s="61"/>
      <c r="P1904" s="61"/>
      <c r="Q1904" s="61"/>
      <c r="R1904" s="61"/>
      <c r="S1904" s="61"/>
      <c r="T1904" s="61"/>
      <c r="U1904" s="61"/>
      <c r="V1904" s="61"/>
      <c r="W1904" s="61"/>
      <c r="X1904" s="61"/>
      <c r="Y1904" s="61"/>
      <c r="Z1904" s="61"/>
    </row>
    <row r="1905" ht="15.75" customHeight="1">
      <c r="A1905" s="61"/>
      <c r="B1905" s="61"/>
      <c r="C1905" s="61"/>
      <c r="D1905" s="61"/>
      <c r="E1905" s="61"/>
      <c r="F1905" s="61"/>
      <c r="G1905" s="61"/>
      <c r="H1905" s="63"/>
      <c r="I1905" s="61"/>
      <c r="J1905" s="61"/>
      <c r="K1905" s="61"/>
      <c r="L1905" s="61"/>
      <c r="M1905" s="61"/>
      <c r="N1905" s="61"/>
      <c r="O1905" s="61"/>
      <c r="P1905" s="61"/>
      <c r="Q1905" s="61"/>
      <c r="R1905" s="61"/>
      <c r="S1905" s="61"/>
      <c r="T1905" s="61"/>
      <c r="U1905" s="61"/>
      <c r="V1905" s="61"/>
      <c r="W1905" s="61"/>
      <c r="X1905" s="61"/>
      <c r="Y1905" s="61"/>
      <c r="Z1905" s="61"/>
    </row>
    <row r="1906" ht="15.75" customHeight="1">
      <c r="A1906" s="61"/>
      <c r="B1906" s="61"/>
      <c r="C1906" s="61"/>
      <c r="D1906" s="61"/>
      <c r="E1906" s="61"/>
      <c r="F1906" s="61"/>
      <c r="G1906" s="61"/>
      <c r="H1906" s="63"/>
      <c r="I1906" s="61"/>
      <c r="J1906" s="61"/>
      <c r="K1906" s="61"/>
      <c r="L1906" s="61"/>
      <c r="M1906" s="61"/>
      <c r="N1906" s="61"/>
      <c r="O1906" s="61"/>
      <c r="P1906" s="61"/>
      <c r="Q1906" s="61"/>
      <c r="R1906" s="61"/>
      <c r="S1906" s="61"/>
      <c r="T1906" s="61"/>
      <c r="U1906" s="61"/>
      <c r="V1906" s="61"/>
      <c r="W1906" s="61"/>
      <c r="X1906" s="61"/>
      <c r="Y1906" s="61"/>
      <c r="Z1906" s="61"/>
    </row>
    <row r="1907" ht="15.75" customHeight="1">
      <c r="A1907" s="61"/>
      <c r="B1907" s="61"/>
      <c r="C1907" s="61"/>
      <c r="D1907" s="61"/>
      <c r="E1907" s="61"/>
      <c r="F1907" s="61"/>
      <c r="G1907" s="61"/>
      <c r="H1907" s="63"/>
      <c r="I1907" s="61"/>
      <c r="J1907" s="61"/>
      <c r="K1907" s="61"/>
      <c r="L1907" s="61"/>
      <c r="M1907" s="61"/>
      <c r="N1907" s="61"/>
      <c r="O1907" s="61"/>
      <c r="P1907" s="61"/>
      <c r="Q1907" s="61"/>
      <c r="R1907" s="61"/>
      <c r="S1907" s="61"/>
      <c r="T1907" s="61"/>
      <c r="U1907" s="61"/>
      <c r="V1907" s="61"/>
      <c r="W1907" s="61"/>
      <c r="X1907" s="61"/>
      <c r="Y1907" s="61"/>
      <c r="Z1907" s="61"/>
    </row>
    <row r="1908" ht="15.75" customHeight="1">
      <c r="A1908" s="61"/>
      <c r="B1908" s="61"/>
      <c r="C1908" s="61"/>
      <c r="D1908" s="61"/>
      <c r="E1908" s="61"/>
      <c r="F1908" s="61"/>
      <c r="G1908" s="61"/>
      <c r="H1908" s="63"/>
      <c r="I1908" s="61"/>
      <c r="J1908" s="61"/>
      <c r="K1908" s="61"/>
      <c r="L1908" s="61"/>
      <c r="M1908" s="61"/>
      <c r="N1908" s="61"/>
      <c r="O1908" s="61"/>
      <c r="P1908" s="61"/>
      <c r="Q1908" s="61"/>
      <c r="R1908" s="61"/>
      <c r="S1908" s="61"/>
      <c r="T1908" s="61"/>
      <c r="U1908" s="61"/>
      <c r="V1908" s="61"/>
      <c r="W1908" s="61"/>
      <c r="X1908" s="61"/>
      <c r="Y1908" s="61"/>
      <c r="Z1908" s="61"/>
    </row>
    <row r="1909" ht="15.75" customHeight="1">
      <c r="A1909" s="61"/>
      <c r="B1909" s="61"/>
      <c r="C1909" s="61"/>
      <c r="D1909" s="61"/>
      <c r="E1909" s="61"/>
      <c r="F1909" s="61"/>
      <c r="G1909" s="61"/>
      <c r="H1909" s="63"/>
      <c r="I1909" s="61"/>
      <c r="J1909" s="61"/>
      <c r="K1909" s="61"/>
      <c r="L1909" s="61"/>
      <c r="M1909" s="61"/>
      <c r="N1909" s="61"/>
      <c r="O1909" s="61"/>
      <c r="P1909" s="61"/>
      <c r="Q1909" s="61"/>
      <c r="R1909" s="61"/>
      <c r="S1909" s="61"/>
      <c r="T1909" s="61"/>
      <c r="U1909" s="61"/>
      <c r="V1909" s="61"/>
      <c r="W1909" s="61"/>
      <c r="X1909" s="61"/>
      <c r="Y1909" s="61"/>
      <c r="Z1909" s="61"/>
    </row>
    <row r="1910" ht="15.75" customHeight="1">
      <c r="A1910" s="61"/>
      <c r="B1910" s="61"/>
      <c r="C1910" s="61"/>
      <c r="D1910" s="61"/>
      <c r="E1910" s="61"/>
      <c r="F1910" s="61"/>
      <c r="G1910" s="61"/>
      <c r="H1910" s="63"/>
      <c r="I1910" s="61"/>
      <c r="J1910" s="61"/>
      <c r="K1910" s="61"/>
      <c r="L1910" s="61"/>
      <c r="M1910" s="61"/>
      <c r="N1910" s="61"/>
      <c r="O1910" s="61"/>
      <c r="P1910" s="61"/>
      <c r="Q1910" s="61"/>
      <c r="R1910" s="61"/>
      <c r="S1910" s="61"/>
      <c r="T1910" s="61"/>
      <c r="U1910" s="61"/>
      <c r="V1910" s="61"/>
      <c r="W1910" s="61"/>
      <c r="X1910" s="61"/>
      <c r="Y1910" s="61"/>
      <c r="Z1910" s="61"/>
    </row>
    <row r="1911" ht="15.75" customHeight="1">
      <c r="A1911" s="61"/>
      <c r="B1911" s="61"/>
      <c r="C1911" s="61"/>
      <c r="D1911" s="61"/>
      <c r="E1911" s="61"/>
      <c r="F1911" s="61"/>
      <c r="G1911" s="61"/>
      <c r="H1911" s="63"/>
      <c r="I1911" s="61"/>
      <c r="J1911" s="61"/>
      <c r="K1911" s="61"/>
      <c r="L1911" s="61"/>
      <c r="M1911" s="61"/>
      <c r="N1911" s="61"/>
      <c r="O1911" s="61"/>
      <c r="P1911" s="61"/>
      <c r="Q1911" s="61"/>
      <c r="R1911" s="61"/>
      <c r="S1911" s="61"/>
      <c r="T1911" s="61"/>
      <c r="U1911" s="61"/>
      <c r="V1911" s="61"/>
      <c r="W1911" s="61"/>
      <c r="X1911" s="61"/>
      <c r="Y1911" s="61"/>
      <c r="Z1911" s="61"/>
    </row>
    <row r="1912" ht="15.75" customHeight="1">
      <c r="A1912" s="61"/>
      <c r="B1912" s="61"/>
      <c r="C1912" s="61"/>
      <c r="D1912" s="61"/>
      <c r="E1912" s="61"/>
      <c r="F1912" s="61"/>
      <c r="G1912" s="61"/>
      <c r="H1912" s="63"/>
      <c r="I1912" s="61"/>
      <c r="J1912" s="61"/>
      <c r="K1912" s="61"/>
      <c r="L1912" s="61"/>
      <c r="M1912" s="61"/>
      <c r="N1912" s="61"/>
      <c r="O1912" s="61"/>
      <c r="P1912" s="61"/>
      <c r="Q1912" s="61"/>
      <c r="R1912" s="61"/>
      <c r="S1912" s="61"/>
      <c r="T1912" s="61"/>
      <c r="U1912" s="61"/>
      <c r="V1912" s="61"/>
      <c r="W1912" s="61"/>
      <c r="X1912" s="61"/>
      <c r="Y1912" s="61"/>
      <c r="Z1912" s="61"/>
    </row>
    <row r="1913" ht="15.75" customHeight="1">
      <c r="A1913" s="61"/>
      <c r="B1913" s="61"/>
      <c r="C1913" s="61"/>
      <c r="D1913" s="61"/>
      <c r="E1913" s="61"/>
      <c r="F1913" s="61"/>
      <c r="G1913" s="61"/>
      <c r="H1913" s="63"/>
      <c r="I1913" s="61"/>
      <c r="J1913" s="61"/>
      <c r="K1913" s="61"/>
      <c r="L1913" s="61"/>
      <c r="M1913" s="61"/>
      <c r="N1913" s="61"/>
      <c r="O1913" s="61"/>
      <c r="P1913" s="61"/>
      <c r="Q1913" s="61"/>
      <c r="R1913" s="61"/>
      <c r="S1913" s="61"/>
      <c r="T1913" s="61"/>
      <c r="U1913" s="61"/>
      <c r="V1913" s="61"/>
      <c r="W1913" s="61"/>
      <c r="X1913" s="61"/>
      <c r="Y1913" s="61"/>
      <c r="Z1913" s="61"/>
    </row>
    <row r="1914" ht="15.75" customHeight="1">
      <c r="A1914" s="61"/>
      <c r="B1914" s="61"/>
      <c r="C1914" s="61"/>
      <c r="D1914" s="61"/>
      <c r="E1914" s="61"/>
      <c r="F1914" s="61"/>
      <c r="G1914" s="61"/>
      <c r="H1914" s="63"/>
      <c r="I1914" s="61"/>
      <c r="J1914" s="61"/>
      <c r="K1914" s="61"/>
      <c r="L1914" s="61"/>
      <c r="M1914" s="61"/>
      <c r="N1914" s="61"/>
      <c r="O1914" s="61"/>
      <c r="P1914" s="61"/>
      <c r="Q1914" s="61"/>
      <c r="R1914" s="61"/>
      <c r="S1914" s="61"/>
      <c r="T1914" s="61"/>
      <c r="U1914" s="61"/>
      <c r="V1914" s="61"/>
      <c r="W1914" s="61"/>
      <c r="X1914" s="61"/>
      <c r="Y1914" s="61"/>
      <c r="Z1914" s="61"/>
    </row>
    <row r="1915" ht="15.75" customHeight="1">
      <c r="A1915" s="61"/>
      <c r="B1915" s="61"/>
      <c r="C1915" s="61"/>
      <c r="D1915" s="61"/>
      <c r="E1915" s="61"/>
      <c r="F1915" s="61"/>
      <c r="G1915" s="61"/>
      <c r="H1915" s="63"/>
      <c r="I1915" s="61"/>
      <c r="J1915" s="61"/>
      <c r="K1915" s="61"/>
      <c r="L1915" s="61"/>
      <c r="M1915" s="61"/>
      <c r="N1915" s="61"/>
      <c r="O1915" s="61"/>
      <c r="P1915" s="61"/>
      <c r="Q1915" s="61"/>
      <c r="R1915" s="61"/>
      <c r="S1915" s="61"/>
      <c r="T1915" s="61"/>
      <c r="U1915" s="61"/>
      <c r="V1915" s="61"/>
      <c r="W1915" s="61"/>
      <c r="X1915" s="61"/>
      <c r="Y1915" s="61"/>
      <c r="Z1915" s="61"/>
    </row>
    <row r="1916" ht="15.75" customHeight="1">
      <c r="A1916" s="61"/>
      <c r="B1916" s="61"/>
      <c r="C1916" s="61"/>
      <c r="D1916" s="61"/>
      <c r="E1916" s="61"/>
      <c r="F1916" s="61"/>
      <c r="G1916" s="61"/>
      <c r="H1916" s="63"/>
      <c r="I1916" s="61"/>
      <c r="J1916" s="61"/>
      <c r="K1916" s="61"/>
      <c r="L1916" s="61"/>
      <c r="M1916" s="61"/>
      <c r="N1916" s="61"/>
      <c r="O1916" s="61"/>
      <c r="P1916" s="61"/>
      <c r="Q1916" s="61"/>
      <c r="R1916" s="61"/>
      <c r="S1916" s="61"/>
      <c r="T1916" s="61"/>
      <c r="U1916" s="61"/>
      <c r="V1916" s="61"/>
      <c r="W1916" s="61"/>
      <c r="X1916" s="61"/>
      <c r="Y1916" s="61"/>
      <c r="Z1916" s="61"/>
    </row>
    <row r="1917" ht="15.75" customHeight="1">
      <c r="A1917" s="61"/>
      <c r="B1917" s="61"/>
      <c r="C1917" s="61"/>
      <c r="D1917" s="61"/>
      <c r="E1917" s="61"/>
      <c r="F1917" s="61"/>
      <c r="G1917" s="61"/>
      <c r="H1917" s="63"/>
      <c r="I1917" s="61"/>
      <c r="J1917" s="61"/>
      <c r="K1917" s="61"/>
      <c r="L1917" s="61"/>
      <c r="M1917" s="61"/>
      <c r="N1917" s="61"/>
      <c r="O1917" s="61"/>
      <c r="P1917" s="61"/>
      <c r="Q1917" s="61"/>
      <c r="R1917" s="61"/>
      <c r="S1917" s="61"/>
      <c r="T1917" s="61"/>
      <c r="U1917" s="61"/>
      <c r="V1917" s="61"/>
      <c r="W1917" s="61"/>
      <c r="X1917" s="61"/>
      <c r="Y1917" s="61"/>
      <c r="Z1917" s="61"/>
    </row>
    <row r="1918" ht="15.75" customHeight="1">
      <c r="A1918" s="61"/>
      <c r="B1918" s="61"/>
      <c r="C1918" s="61"/>
      <c r="D1918" s="61"/>
      <c r="E1918" s="61"/>
      <c r="F1918" s="61"/>
      <c r="G1918" s="61"/>
      <c r="H1918" s="63"/>
      <c r="I1918" s="61"/>
      <c r="J1918" s="61"/>
      <c r="K1918" s="61"/>
      <c r="L1918" s="61"/>
      <c r="M1918" s="61"/>
      <c r="N1918" s="61"/>
      <c r="O1918" s="61"/>
      <c r="P1918" s="61"/>
      <c r="Q1918" s="61"/>
      <c r="R1918" s="61"/>
      <c r="S1918" s="61"/>
      <c r="T1918" s="61"/>
      <c r="U1918" s="61"/>
      <c r="V1918" s="61"/>
      <c r="W1918" s="61"/>
      <c r="X1918" s="61"/>
      <c r="Y1918" s="61"/>
      <c r="Z1918" s="61"/>
    </row>
    <row r="1919" ht="15.75" customHeight="1">
      <c r="A1919" s="61"/>
      <c r="B1919" s="61"/>
      <c r="C1919" s="61"/>
      <c r="D1919" s="61"/>
      <c r="E1919" s="61"/>
      <c r="F1919" s="61"/>
      <c r="G1919" s="61"/>
      <c r="H1919" s="63"/>
      <c r="I1919" s="61"/>
      <c r="J1919" s="61"/>
      <c r="K1919" s="61"/>
      <c r="L1919" s="61"/>
      <c r="M1919" s="61"/>
      <c r="N1919" s="61"/>
      <c r="O1919" s="61"/>
      <c r="P1919" s="61"/>
      <c r="Q1919" s="61"/>
      <c r="R1919" s="61"/>
      <c r="S1919" s="61"/>
      <c r="T1919" s="61"/>
      <c r="U1919" s="61"/>
      <c r="V1919" s="61"/>
      <c r="W1919" s="61"/>
      <c r="X1919" s="61"/>
      <c r="Y1919" s="61"/>
      <c r="Z1919" s="61"/>
    </row>
    <row r="1920" ht="15.75" customHeight="1">
      <c r="A1920" s="61"/>
      <c r="B1920" s="61"/>
      <c r="C1920" s="61"/>
      <c r="D1920" s="61"/>
      <c r="E1920" s="61"/>
      <c r="F1920" s="61"/>
      <c r="G1920" s="61"/>
      <c r="H1920" s="63"/>
      <c r="I1920" s="61"/>
      <c r="J1920" s="61"/>
      <c r="K1920" s="61"/>
      <c r="L1920" s="61"/>
      <c r="M1920" s="61"/>
      <c r="N1920" s="61"/>
      <c r="O1920" s="61"/>
      <c r="P1920" s="61"/>
      <c r="Q1920" s="61"/>
      <c r="R1920" s="61"/>
      <c r="S1920" s="61"/>
      <c r="T1920" s="61"/>
      <c r="U1920" s="61"/>
      <c r="V1920" s="61"/>
      <c r="W1920" s="61"/>
      <c r="X1920" s="61"/>
      <c r="Y1920" s="61"/>
      <c r="Z1920" s="61"/>
    </row>
    <row r="1921" ht="15.75" customHeight="1">
      <c r="A1921" s="61"/>
      <c r="B1921" s="61"/>
      <c r="C1921" s="61"/>
      <c r="D1921" s="61"/>
      <c r="E1921" s="61"/>
      <c r="F1921" s="61"/>
      <c r="G1921" s="61"/>
      <c r="H1921" s="63"/>
      <c r="I1921" s="61"/>
      <c r="J1921" s="61"/>
      <c r="K1921" s="61"/>
      <c r="L1921" s="61"/>
      <c r="M1921" s="61"/>
      <c r="N1921" s="61"/>
      <c r="O1921" s="61"/>
      <c r="P1921" s="61"/>
      <c r="Q1921" s="61"/>
      <c r="R1921" s="61"/>
      <c r="S1921" s="61"/>
      <c r="T1921" s="61"/>
      <c r="U1921" s="61"/>
      <c r="V1921" s="61"/>
      <c r="W1921" s="61"/>
      <c r="X1921" s="61"/>
      <c r="Y1921" s="61"/>
      <c r="Z1921" s="61"/>
    </row>
    <row r="1922" ht="15.75" customHeight="1">
      <c r="A1922" s="61"/>
      <c r="B1922" s="61"/>
      <c r="C1922" s="61"/>
      <c r="D1922" s="61"/>
      <c r="E1922" s="61"/>
      <c r="F1922" s="61"/>
      <c r="G1922" s="61"/>
      <c r="H1922" s="63"/>
      <c r="I1922" s="61"/>
      <c r="J1922" s="61"/>
      <c r="K1922" s="61"/>
      <c r="L1922" s="61"/>
      <c r="M1922" s="61"/>
      <c r="N1922" s="61"/>
      <c r="O1922" s="61"/>
      <c r="P1922" s="61"/>
      <c r="Q1922" s="61"/>
      <c r="R1922" s="61"/>
      <c r="S1922" s="61"/>
      <c r="T1922" s="61"/>
      <c r="U1922" s="61"/>
      <c r="V1922" s="61"/>
      <c r="W1922" s="61"/>
      <c r="X1922" s="61"/>
      <c r="Y1922" s="61"/>
      <c r="Z1922" s="61"/>
    </row>
    <row r="1923" ht="15.75" customHeight="1">
      <c r="A1923" s="61"/>
      <c r="B1923" s="61"/>
      <c r="C1923" s="61"/>
      <c r="D1923" s="61"/>
      <c r="E1923" s="61"/>
      <c r="F1923" s="61"/>
      <c r="G1923" s="61"/>
      <c r="H1923" s="63"/>
      <c r="I1923" s="61"/>
      <c r="J1923" s="61"/>
      <c r="K1923" s="61"/>
      <c r="L1923" s="61"/>
      <c r="M1923" s="61"/>
      <c r="N1923" s="61"/>
      <c r="O1923" s="61"/>
      <c r="P1923" s="61"/>
      <c r="Q1923" s="61"/>
      <c r="R1923" s="61"/>
      <c r="S1923" s="61"/>
      <c r="T1923" s="61"/>
      <c r="U1923" s="61"/>
      <c r="V1923" s="61"/>
      <c r="W1923" s="61"/>
      <c r="X1923" s="61"/>
      <c r="Y1923" s="61"/>
      <c r="Z1923" s="61"/>
    </row>
    <row r="1924" ht="15.75" customHeight="1">
      <c r="A1924" s="61"/>
      <c r="B1924" s="61"/>
      <c r="C1924" s="61"/>
      <c r="D1924" s="61"/>
      <c r="E1924" s="61"/>
      <c r="F1924" s="61"/>
      <c r="G1924" s="61"/>
      <c r="H1924" s="63"/>
      <c r="I1924" s="61"/>
      <c r="J1924" s="61"/>
      <c r="K1924" s="61"/>
      <c r="L1924" s="61"/>
      <c r="M1924" s="61"/>
      <c r="N1924" s="61"/>
      <c r="O1924" s="61"/>
      <c r="P1924" s="61"/>
      <c r="Q1924" s="61"/>
      <c r="R1924" s="61"/>
      <c r="S1924" s="61"/>
      <c r="T1924" s="61"/>
      <c r="U1924" s="61"/>
      <c r="V1924" s="61"/>
      <c r="W1924" s="61"/>
      <c r="X1924" s="61"/>
      <c r="Y1924" s="61"/>
      <c r="Z1924" s="61"/>
    </row>
    <row r="1925" ht="15.75" customHeight="1">
      <c r="A1925" s="61"/>
      <c r="B1925" s="61"/>
      <c r="C1925" s="61"/>
      <c r="D1925" s="61"/>
      <c r="E1925" s="61"/>
      <c r="F1925" s="61"/>
      <c r="G1925" s="61"/>
      <c r="H1925" s="63"/>
      <c r="I1925" s="61"/>
      <c r="J1925" s="61"/>
      <c r="K1925" s="61"/>
      <c r="L1925" s="61"/>
      <c r="M1925" s="61"/>
      <c r="N1925" s="61"/>
      <c r="O1925" s="61"/>
      <c r="P1925" s="61"/>
      <c r="Q1925" s="61"/>
      <c r="R1925" s="61"/>
      <c r="S1925" s="61"/>
      <c r="T1925" s="61"/>
      <c r="U1925" s="61"/>
      <c r="V1925" s="61"/>
      <c r="W1925" s="61"/>
      <c r="X1925" s="61"/>
      <c r="Y1925" s="61"/>
      <c r="Z1925" s="61"/>
    </row>
    <row r="1926" ht="15.75" customHeight="1">
      <c r="A1926" s="61"/>
      <c r="B1926" s="61"/>
      <c r="C1926" s="61"/>
      <c r="D1926" s="61"/>
      <c r="E1926" s="61"/>
      <c r="F1926" s="61"/>
      <c r="G1926" s="61"/>
      <c r="H1926" s="63"/>
      <c r="I1926" s="61"/>
      <c r="J1926" s="61"/>
      <c r="K1926" s="61"/>
      <c r="L1926" s="61"/>
      <c r="M1926" s="61"/>
      <c r="N1926" s="61"/>
      <c r="O1926" s="61"/>
      <c r="P1926" s="61"/>
      <c r="Q1926" s="61"/>
      <c r="R1926" s="61"/>
      <c r="S1926" s="61"/>
      <c r="T1926" s="61"/>
      <c r="U1926" s="61"/>
      <c r="V1926" s="61"/>
      <c r="W1926" s="61"/>
      <c r="X1926" s="61"/>
      <c r="Y1926" s="61"/>
      <c r="Z1926" s="61"/>
    </row>
    <row r="1927" ht="15.75" customHeight="1">
      <c r="A1927" s="61"/>
      <c r="B1927" s="61"/>
      <c r="C1927" s="61"/>
      <c r="D1927" s="61"/>
      <c r="E1927" s="61"/>
      <c r="F1927" s="61"/>
      <c r="G1927" s="61"/>
      <c r="H1927" s="63"/>
      <c r="I1927" s="61"/>
      <c r="J1927" s="61"/>
      <c r="K1927" s="61"/>
      <c r="L1927" s="61"/>
      <c r="M1927" s="61"/>
      <c r="N1927" s="61"/>
      <c r="O1927" s="61"/>
      <c r="P1927" s="61"/>
      <c r="Q1927" s="61"/>
      <c r="R1927" s="61"/>
      <c r="S1927" s="61"/>
      <c r="T1927" s="61"/>
      <c r="U1927" s="61"/>
      <c r="V1927" s="61"/>
      <c r="W1927" s="61"/>
      <c r="X1927" s="61"/>
      <c r="Y1927" s="61"/>
      <c r="Z1927" s="61"/>
    </row>
    <row r="1928" ht="15.75" customHeight="1">
      <c r="A1928" s="61"/>
      <c r="B1928" s="61"/>
      <c r="C1928" s="61"/>
      <c r="D1928" s="61"/>
      <c r="E1928" s="61"/>
      <c r="F1928" s="61"/>
      <c r="G1928" s="61"/>
      <c r="H1928" s="63"/>
      <c r="I1928" s="61"/>
      <c r="J1928" s="61"/>
      <c r="K1928" s="61"/>
      <c r="L1928" s="61"/>
      <c r="M1928" s="61"/>
      <c r="N1928" s="61"/>
      <c r="O1928" s="61"/>
      <c r="P1928" s="61"/>
      <c r="Q1928" s="61"/>
      <c r="R1928" s="61"/>
      <c r="S1928" s="61"/>
      <c r="T1928" s="61"/>
      <c r="U1928" s="61"/>
      <c r="V1928" s="61"/>
      <c r="W1928" s="61"/>
      <c r="X1928" s="61"/>
      <c r="Y1928" s="61"/>
      <c r="Z1928" s="61"/>
    </row>
    <row r="1929" ht="15.75" customHeight="1">
      <c r="A1929" s="61"/>
      <c r="B1929" s="61"/>
      <c r="C1929" s="61"/>
      <c r="D1929" s="61"/>
      <c r="E1929" s="61"/>
      <c r="F1929" s="61"/>
      <c r="G1929" s="61"/>
      <c r="H1929" s="63"/>
      <c r="I1929" s="61"/>
      <c r="J1929" s="61"/>
      <c r="K1929" s="61"/>
      <c r="L1929" s="61"/>
      <c r="M1929" s="61"/>
      <c r="N1929" s="61"/>
      <c r="O1929" s="61"/>
      <c r="P1929" s="61"/>
      <c r="Q1929" s="61"/>
      <c r="R1929" s="61"/>
      <c r="S1929" s="61"/>
      <c r="T1929" s="61"/>
      <c r="U1929" s="61"/>
      <c r="V1929" s="61"/>
      <c r="W1929" s="61"/>
      <c r="X1929" s="61"/>
      <c r="Y1929" s="61"/>
      <c r="Z1929" s="61"/>
    </row>
    <row r="1930" ht="15.75" customHeight="1">
      <c r="A1930" s="61"/>
      <c r="B1930" s="61"/>
      <c r="C1930" s="61"/>
      <c r="D1930" s="61"/>
      <c r="E1930" s="61"/>
      <c r="F1930" s="61"/>
      <c r="G1930" s="61"/>
      <c r="H1930" s="63"/>
      <c r="I1930" s="61"/>
      <c r="J1930" s="61"/>
      <c r="K1930" s="61"/>
      <c r="L1930" s="61"/>
      <c r="M1930" s="61"/>
      <c r="N1930" s="61"/>
      <c r="O1930" s="61"/>
      <c r="P1930" s="61"/>
      <c r="Q1930" s="61"/>
      <c r="R1930" s="61"/>
      <c r="S1930" s="61"/>
      <c r="T1930" s="61"/>
      <c r="U1930" s="61"/>
      <c r="V1930" s="61"/>
      <c r="W1930" s="61"/>
      <c r="X1930" s="61"/>
      <c r="Y1930" s="61"/>
      <c r="Z1930" s="61"/>
    </row>
    <row r="1931" ht="15.75" customHeight="1">
      <c r="A1931" s="61"/>
      <c r="B1931" s="61"/>
      <c r="C1931" s="61"/>
      <c r="D1931" s="61"/>
      <c r="E1931" s="61"/>
      <c r="F1931" s="61"/>
      <c r="G1931" s="61"/>
      <c r="H1931" s="63"/>
      <c r="I1931" s="61"/>
      <c r="J1931" s="61"/>
      <c r="K1931" s="61"/>
      <c r="L1931" s="61"/>
      <c r="M1931" s="61"/>
      <c r="N1931" s="61"/>
      <c r="O1931" s="61"/>
      <c r="P1931" s="61"/>
      <c r="Q1931" s="61"/>
      <c r="R1931" s="61"/>
      <c r="S1931" s="61"/>
      <c r="T1931" s="61"/>
      <c r="U1931" s="61"/>
      <c r="V1931" s="61"/>
      <c r="W1931" s="61"/>
      <c r="X1931" s="61"/>
      <c r="Y1931" s="61"/>
      <c r="Z1931" s="61"/>
    </row>
    <row r="1932" ht="15.75" customHeight="1">
      <c r="A1932" s="61"/>
      <c r="B1932" s="61"/>
      <c r="C1932" s="61"/>
      <c r="D1932" s="61"/>
      <c r="E1932" s="61"/>
      <c r="F1932" s="61"/>
      <c r="G1932" s="61"/>
      <c r="H1932" s="63"/>
      <c r="I1932" s="61"/>
      <c r="J1932" s="61"/>
      <c r="K1932" s="61"/>
      <c r="L1932" s="61"/>
      <c r="M1932" s="61"/>
      <c r="N1932" s="61"/>
      <c r="O1932" s="61"/>
      <c r="P1932" s="61"/>
      <c r="Q1932" s="61"/>
      <c r="R1932" s="61"/>
      <c r="S1932" s="61"/>
      <c r="T1932" s="61"/>
      <c r="U1932" s="61"/>
      <c r="V1932" s="61"/>
      <c r="W1932" s="61"/>
      <c r="X1932" s="61"/>
      <c r="Y1932" s="61"/>
      <c r="Z1932" s="61"/>
    </row>
    <row r="1933" ht="15.75" customHeight="1">
      <c r="A1933" s="61"/>
      <c r="B1933" s="61"/>
      <c r="C1933" s="61"/>
      <c r="D1933" s="61"/>
      <c r="E1933" s="61"/>
      <c r="F1933" s="61"/>
      <c r="G1933" s="61"/>
      <c r="H1933" s="63"/>
      <c r="I1933" s="61"/>
      <c r="J1933" s="61"/>
      <c r="K1933" s="61"/>
      <c r="L1933" s="61"/>
      <c r="M1933" s="61"/>
      <c r="N1933" s="61"/>
      <c r="O1933" s="61"/>
      <c r="P1933" s="61"/>
      <c r="Q1933" s="61"/>
      <c r="R1933" s="61"/>
      <c r="S1933" s="61"/>
      <c r="T1933" s="61"/>
      <c r="U1933" s="61"/>
      <c r="V1933" s="61"/>
      <c r="W1933" s="61"/>
      <c r="X1933" s="61"/>
      <c r="Y1933" s="61"/>
      <c r="Z1933" s="61"/>
    </row>
    <row r="1934" ht="15.75" customHeight="1">
      <c r="A1934" s="61"/>
      <c r="B1934" s="61"/>
      <c r="C1934" s="61"/>
      <c r="D1934" s="61"/>
      <c r="E1934" s="61"/>
      <c r="F1934" s="61"/>
      <c r="G1934" s="61"/>
      <c r="H1934" s="63"/>
      <c r="I1934" s="61"/>
      <c r="J1934" s="61"/>
      <c r="K1934" s="61"/>
      <c r="L1934" s="61"/>
      <c r="M1934" s="61"/>
      <c r="N1934" s="61"/>
      <c r="O1934" s="61"/>
      <c r="P1934" s="61"/>
      <c r="Q1934" s="61"/>
      <c r="R1934" s="61"/>
      <c r="S1934" s="61"/>
      <c r="T1934" s="61"/>
      <c r="U1934" s="61"/>
      <c r="V1934" s="61"/>
      <c r="W1934" s="61"/>
      <c r="X1934" s="61"/>
      <c r="Y1934" s="61"/>
      <c r="Z1934" s="61"/>
    </row>
    <row r="1935" ht="15.75" customHeight="1">
      <c r="A1935" s="61"/>
      <c r="B1935" s="61"/>
      <c r="C1935" s="61"/>
      <c r="D1935" s="61"/>
      <c r="E1935" s="61"/>
      <c r="F1935" s="61"/>
      <c r="G1935" s="61"/>
      <c r="H1935" s="63"/>
      <c r="I1935" s="61"/>
      <c r="J1935" s="61"/>
      <c r="K1935" s="61"/>
      <c r="L1935" s="61"/>
      <c r="M1935" s="61"/>
      <c r="N1935" s="61"/>
      <c r="O1935" s="61"/>
      <c r="P1935" s="61"/>
      <c r="Q1935" s="61"/>
      <c r="R1935" s="61"/>
      <c r="S1935" s="61"/>
      <c r="T1935" s="61"/>
      <c r="U1935" s="61"/>
      <c r="V1935" s="61"/>
      <c r="W1935" s="61"/>
      <c r="X1935" s="61"/>
      <c r="Y1935" s="61"/>
      <c r="Z1935" s="61"/>
    </row>
    <row r="1936" ht="15.75" customHeight="1">
      <c r="A1936" s="61"/>
      <c r="B1936" s="61"/>
      <c r="C1936" s="61"/>
      <c r="D1936" s="61"/>
      <c r="E1936" s="61"/>
      <c r="F1936" s="61"/>
      <c r="G1936" s="61"/>
      <c r="H1936" s="63"/>
      <c r="I1936" s="61"/>
      <c r="J1936" s="61"/>
      <c r="K1936" s="61"/>
      <c r="L1936" s="61"/>
      <c r="M1936" s="61"/>
      <c r="N1936" s="61"/>
      <c r="O1936" s="61"/>
      <c r="P1936" s="61"/>
      <c r="Q1936" s="61"/>
      <c r="R1936" s="61"/>
      <c r="S1936" s="61"/>
      <c r="T1936" s="61"/>
      <c r="U1936" s="61"/>
      <c r="V1936" s="61"/>
      <c r="W1936" s="61"/>
      <c r="X1936" s="61"/>
      <c r="Y1936" s="61"/>
      <c r="Z1936" s="61"/>
    </row>
    <row r="1937" ht="15.75" customHeight="1">
      <c r="A1937" s="61"/>
      <c r="B1937" s="61"/>
      <c r="C1937" s="61"/>
      <c r="D1937" s="61"/>
      <c r="E1937" s="61"/>
      <c r="F1937" s="61"/>
      <c r="G1937" s="61"/>
      <c r="H1937" s="63"/>
      <c r="I1937" s="61"/>
      <c r="J1937" s="61"/>
      <c r="K1937" s="61"/>
      <c r="L1937" s="61"/>
      <c r="M1937" s="61"/>
      <c r="N1937" s="61"/>
      <c r="O1937" s="61"/>
      <c r="P1937" s="61"/>
      <c r="Q1937" s="61"/>
      <c r="R1937" s="61"/>
      <c r="S1937" s="61"/>
      <c r="T1937" s="61"/>
      <c r="U1937" s="61"/>
      <c r="V1937" s="61"/>
      <c r="W1937" s="61"/>
      <c r="X1937" s="61"/>
      <c r="Y1937" s="61"/>
      <c r="Z1937" s="61"/>
    </row>
    <row r="1938" ht="15.75" customHeight="1">
      <c r="A1938" s="61"/>
      <c r="B1938" s="61"/>
      <c r="C1938" s="61"/>
      <c r="D1938" s="61"/>
      <c r="E1938" s="61"/>
      <c r="F1938" s="61"/>
      <c r="G1938" s="61"/>
      <c r="H1938" s="63"/>
      <c r="I1938" s="61"/>
      <c r="J1938" s="61"/>
      <c r="K1938" s="61"/>
      <c r="L1938" s="61"/>
      <c r="M1938" s="61"/>
      <c r="N1938" s="61"/>
      <c r="O1938" s="61"/>
      <c r="P1938" s="61"/>
      <c r="Q1938" s="61"/>
      <c r="R1938" s="61"/>
      <c r="S1938" s="61"/>
      <c r="T1938" s="61"/>
      <c r="U1938" s="61"/>
      <c r="V1938" s="61"/>
      <c r="W1938" s="61"/>
      <c r="X1938" s="61"/>
      <c r="Y1938" s="61"/>
      <c r="Z1938" s="61"/>
    </row>
    <row r="1939" ht="15.75" customHeight="1">
      <c r="A1939" s="61"/>
      <c r="B1939" s="61"/>
      <c r="C1939" s="61"/>
      <c r="D1939" s="61"/>
      <c r="E1939" s="61"/>
      <c r="F1939" s="61"/>
      <c r="G1939" s="61"/>
      <c r="H1939" s="63"/>
      <c r="I1939" s="61"/>
      <c r="J1939" s="61"/>
      <c r="K1939" s="61"/>
      <c r="L1939" s="61"/>
      <c r="M1939" s="61"/>
      <c r="N1939" s="61"/>
      <c r="O1939" s="61"/>
      <c r="P1939" s="61"/>
      <c r="Q1939" s="61"/>
      <c r="R1939" s="61"/>
      <c r="S1939" s="61"/>
      <c r="T1939" s="61"/>
      <c r="U1939" s="61"/>
      <c r="V1939" s="61"/>
      <c r="W1939" s="61"/>
      <c r="X1939" s="61"/>
      <c r="Y1939" s="61"/>
      <c r="Z1939" s="61"/>
    </row>
    <row r="1940" ht="15.75" customHeight="1">
      <c r="A1940" s="61"/>
      <c r="B1940" s="61"/>
      <c r="C1940" s="61"/>
      <c r="D1940" s="61"/>
      <c r="E1940" s="61"/>
      <c r="F1940" s="61"/>
      <c r="G1940" s="61"/>
      <c r="H1940" s="63"/>
      <c r="I1940" s="61"/>
      <c r="J1940" s="61"/>
      <c r="K1940" s="61"/>
      <c r="L1940" s="61"/>
      <c r="M1940" s="61"/>
      <c r="N1940" s="61"/>
      <c r="O1940" s="61"/>
      <c r="P1940" s="61"/>
      <c r="Q1940" s="61"/>
      <c r="R1940" s="61"/>
      <c r="S1940" s="61"/>
      <c r="T1940" s="61"/>
      <c r="U1940" s="61"/>
      <c r="V1940" s="61"/>
      <c r="W1940" s="61"/>
      <c r="X1940" s="61"/>
      <c r="Y1940" s="61"/>
      <c r="Z1940" s="61"/>
    </row>
    <row r="1941" ht="15.75" customHeight="1">
      <c r="A1941" s="61"/>
      <c r="B1941" s="61"/>
      <c r="C1941" s="61"/>
      <c r="D1941" s="61"/>
      <c r="E1941" s="61"/>
      <c r="F1941" s="61"/>
      <c r="G1941" s="61"/>
      <c r="H1941" s="63"/>
      <c r="I1941" s="61"/>
      <c r="J1941" s="61"/>
      <c r="K1941" s="61"/>
      <c r="L1941" s="61"/>
      <c r="M1941" s="61"/>
      <c r="N1941" s="61"/>
      <c r="O1941" s="61"/>
      <c r="P1941" s="61"/>
      <c r="Q1941" s="61"/>
      <c r="R1941" s="61"/>
      <c r="S1941" s="61"/>
      <c r="T1941" s="61"/>
      <c r="U1941" s="61"/>
      <c r="V1941" s="61"/>
      <c r="W1941" s="61"/>
      <c r="X1941" s="61"/>
      <c r="Y1941" s="61"/>
      <c r="Z1941" s="61"/>
    </row>
    <row r="1942" ht="15.75" customHeight="1">
      <c r="A1942" s="61"/>
      <c r="B1942" s="61"/>
      <c r="C1942" s="61"/>
      <c r="D1942" s="61"/>
      <c r="E1942" s="61"/>
      <c r="F1942" s="61"/>
      <c r="G1942" s="61"/>
      <c r="H1942" s="63"/>
      <c r="I1942" s="61"/>
      <c r="J1942" s="61"/>
      <c r="K1942" s="61"/>
      <c r="L1942" s="61"/>
      <c r="M1942" s="61"/>
      <c r="N1942" s="61"/>
      <c r="O1942" s="61"/>
      <c r="P1942" s="61"/>
      <c r="Q1942" s="61"/>
      <c r="R1942" s="61"/>
      <c r="S1942" s="61"/>
      <c r="T1942" s="61"/>
      <c r="U1942" s="61"/>
      <c r="V1942" s="61"/>
      <c r="W1942" s="61"/>
      <c r="X1942" s="61"/>
      <c r="Y1942" s="61"/>
      <c r="Z1942" s="61"/>
    </row>
    <row r="1943" ht="15.75" customHeight="1">
      <c r="A1943" s="61"/>
      <c r="B1943" s="61"/>
      <c r="C1943" s="61"/>
      <c r="D1943" s="61"/>
      <c r="E1943" s="61"/>
      <c r="F1943" s="61"/>
      <c r="G1943" s="61"/>
      <c r="H1943" s="63"/>
      <c r="I1943" s="61"/>
      <c r="J1943" s="61"/>
      <c r="K1943" s="61"/>
      <c r="L1943" s="61"/>
      <c r="M1943" s="61"/>
      <c r="N1943" s="61"/>
      <c r="O1943" s="61"/>
      <c r="P1943" s="61"/>
      <c r="Q1943" s="61"/>
      <c r="R1943" s="61"/>
      <c r="S1943" s="61"/>
      <c r="T1943" s="61"/>
      <c r="U1943" s="61"/>
      <c r="V1943" s="61"/>
      <c r="W1943" s="61"/>
      <c r="X1943" s="61"/>
      <c r="Y1943" s="61"/>
      <c r="Z1943" s="61"/>
    </row>
    <row r="1944" ht="15.75" customHeight="1">
      <c r="A1944" s="61"/>
      <c r="B1944" s="61"/>
      <c r="C1944" s="61"/>
      <c r="D1944" s="61"/>
      <c r="E1944" s="61"/>
      <c r="F1944" s="61"/>
      <c r="G1944" s="61"/>
      <c r="H1944" s="63"/>
      <c r="I1944" s="61"/>
      <c r="J1944" s="61"/>
      <c r="K1944" s="61"/>
      <c r="L1944" s="61"/>
      <c r="M1944" s="61"/>
      <c r="N1944" s="61"/>
      <c r="O1944" s="61"/>
      <c r="P1944" s="61"/>
      <c r="Q1944" s="61"/>
      <c r="R1944" s="61"/>
      <c r="S1944" s="61"/>
      <c r="T1944" s="61"/>
      <c r="U1944" s="61"/>
      <c r="V1944" s="61"/>
      <c r="W1944" s="61"/>
      <c r="X1944" s="61"/>
      <c r="Y1944" s="61"/>
      <c r="Z1944" s="61"/>
    </row>
    <row r="1945" ht="15.75" customHeight="1">
      <c r="A1945" s="61"/>
      <c r="B1945" s="61"/>
      <c r="C1945" s="61"/>
      <c r="D1945" s="61"/>
      <c r="E1945" s="61"/>
      <c r="F1945" s="61"/>
      <c r="G1945" s="61"/>
      <c r="H1945" s="63"/>
      <c r="I1945" s="61"/>
      <c r="J1945" s="61"/>
      <c r="K1945" s="61"/>
      <c r="L1945" s="61"/>
      <c r="M1945" s="61"/>
      <c r="N1945" s="61"/>
      <c r="O1945" s="61"/>
      <c r="P1945" s="61"/>
      <c r="Q1945" s="61"/>
      <c r="R1945" s="61"/>
      <c r="S1945" s="61"/>
      <c r="T1945" s="61"/>
      <c r="U1945" s="61"/>
      <c r="V1945" s="61"/>
      <c r="W1945" s="61"/>
      <c r="X1945" s="61"/>
      <c r="Y1945" s="61"/>
      <c r="Z1945" s="61"/>
    </row>
    <row r="1946" ht="15.75" customHeight="1">
      <c r="A1946" s="61"/>
      <c r="B1946" s="61"/>
      <c r="C1946" s="61"/>
      <c r="D1946" s="61"/>
      <c r="E1946" s="61"/>
      <c r="F1946" s="61"/>
      <c r="G1946" s="61"/>
      <c r="H1946" s="63"/>
      <c r="I1946" s="61"/>
      <c r="J1946" s="61"/>
      <c r="K1946" s="61"/>
      <c r="L1946" s="61"/>
      <c r="M1946" s="61"/>
      <c r="N1946" s="61"/>
      <c r="O1946" s="61"/>
      <c r="P1946" s="61"/>
      <c r="Q1946" s="61"/>
      <c r="R1946" s="61"/>
      <c r="S1946" s="61"/>
      <c r="T1946" s="61"/>
      <c r="U1946" s="61"/>
      <c r="V1946" s="61"/>
      <c r="W1946" s="61"/>
      <c r="X1946" s="61"/>
      <c r="Y1946" s="61"/>
      <c r="Z1946" s="61"/>
    </row>
    <row r="1947" ht="15.75" customHeight="1">
      <c r="A1947" s="61"/>
      <c r="B1947" s="61"/>
      <c r="C1947" s="61"/>
      <c r="D1947" s="61"/>
      <c r="E1947" s="61"/>
      <c r="F1947" s="61"/>
      <c r="G1947" s="61"/>
      <c r="H1947" s="63"/>
      <c r="I1947" s="61"/>
      <c r="J1947" s="61"/>
      <c r="K1947" s="61"/>
      <c r="L1947" s="61"/>
      <c r="M1947" s="61"/>
      <c r="N1947" s="61"/>
      <c r="O1947" s="61"/>
      <c r="P1947" s="61"/>
      <c r="Q1947" s="61"/>
      <c r="R1947" s="61"/>
      <c r="S1947" s="61"/>
      <c r="T1947" s="61"/>
      <c r="U1947" s="61"/>
      <c r="V1947" s="61"/>
      <c r="W1947" s="61"/>
      <c r="X1947" s="61"/>
      <c r="Y1947" s="61"/>
      <c r="Z1947" s="61"/>
    </row>
    <row r="1948" ht="15.75" customHeight="1">
      <c r="A1948" s="61"/>
      <c r="B1948" s="61"/>
      <c r="C1948" s="61"/>
      <c r="D1948" s="61"/>
      <c r="E1948" s="61"/>
      <c r="F1948" s="61"/>
      <c r="G1948" s="61"/>
      <c r="H1948" s="63"/>
      <c r="I1948" s="61"/>
      <c r="J1948" s="61"/>
      <c r="K1948" s="61"/>
      <c r="L1948" s="61"/>
      <c r="M1948" s="61"/>
      <c r="N1948" s="61"/>
      <c r="O1948" s="61"/>
      <c r="P1948" s="61"/>
      <c r="Q1948" s="61"/>
      <c r="R1948" s="61"/>
      <c r="S1948" s="61"/>
      <c r="T1948" s="61"/>
      <c r="U1948" s="61"/>
      <c r="V1948" s="61"/>
      <c r="W1948" s="61"/>
      <c r="X1948" s="61"/>
      <c r="Y1948" s="61"/>
      <c r="Z1948" s="61"/>
    </row>
    <row r="1949" ht="15.75" customHeight="1">
      <c r="A1949" s="61"/>
      <c r="B1949" s="61"/>
      <c r="C1949" s="61"/>
      <c r="D1949" s="61"/>
      <c r="E1949" s="61"/>
      <c r="F1949" s="61"/>
      <c r="G1949" s="61"/>
      <c r="H1949" s="63"/>
      <c r="I1949" s="61"/>
      <c r="J1949" s="61"/>
      <c r="K1949" s="61"/>
      <c r="L1949" s="61"/>
      <c r="M1949" s="61"/>
      <c r="N1949" s="61"/>
      <c r="O1949" s="61"/>
      <c r="P1949" s="61"/>
      <c r="Q1949" s="61"/>
      <c r="R1949" s="61"/>
      <c r="S1949" s="61"/>
      <c r="T1949" s="61"/>
      <c r="U1949" s="61"/>
      <c r="V1949" s="61"/>
      <c r="W1949" s="61"/>
      <c r="X1949" s="61"/>
      <c r="Y1949" s="61"/>
      <c r="Z1949" s="61"/>
    </row>
    <row r="1950" ht="15.75" customHeight="1">
      <c r="A1950" s="61"/>
      <c r="B1950" s="61"/>
      <c r="C1950" s="61"/>
      <c r="D1950" s="61"/>
      <c r="E1950" s="61"/>
      <c r="F1950" s="61"/>
      <c r="G1950" s="61"/>
      <c r="H1950" s="63"/>
      <c r="I1950" s="61"/>
      <c r="J1950" s="61"/>
      <c r="K1950" s="61"/>
      <c r="L1950" s="61"/>
      <c r="M1950" s="61"/>
      <c r="N1950" s="61"/>
      <c r="O1950" s="61"/>
      <c r="P1950" s="61"/>
      <c r="Q1950" s="61"/>
      <c r="R1950" s="61"/>
      <c r="S1950" s="61"/>
      <c r="T1950" s="61"/>
      <c r="U1950" s="61"/>
      <c r="V1950" s="61"/>
      <c r="W1950" s="61"/>
      <c r="X1950" s="61"/>
      <c r="Y1950" s="61"/>
      <c r="Z1950" s="61"/>
    </row>
    <row r="1951" ht="15.75" customHeight="1">
      <c r="A1951" s="61"/>
      <c r="B1951" s="61"/>
      <c r="C1951" s="61"/>
      <c r="D1951" s="61"/>
      <c r="E1951" s="61"/>
      <c r="F1951" s="61"/>
      <c r="G1951" s="61"/>
      <c r="H1951" s="63"/>
      <c r="I1951" s="61"/>
      <c r="J1951" s="61"/>
      <c r="K1951" s="61"/>
      <c r="L1951" s="61"/>
      <c r="M1951" s="61"/>
      <c r="N1951" s="61"/>
      <c r="O1951" s="61"/>
      <c r="P1951" s="61"/>
      <c r="Q1951" s="61"/>
      <c r="R1951" s="61"/>
      <c r="S1951" s="61"/>
      <c r="T1951" s="61"/>
      <c r="U1951" s="61"/>
      <c r="V1951" s="61"/>
      <c r="W1951" s="61"/>
      <c r="X1951" s="61"/>
      <c r="Y1951" s="61"/>
      <c r="Z1951" s="61"/>
    </row>
    <row r="1952" ht="15.75" customHeight="1">
      <c r="A1952" s="61"/>
      <c r="B1952" s="61"/>
      <c r="C1952" s="61"/>
      <c r="D1952" s="61"/>
      <c r="E1952" s="61"/>
      <c r="F1952" s="61"/>
      <c r="G1952" s="61"/>
      <c r="H1952" s="63"/>
      <c r="I1952" s="61"/>
      <c r="J1952" s="61"/>
      <c r="K1952" s="61"/>
      <c r="L1952" s="61"/>
      <c r="M1952" s="61"/>
      <c r="N1952" s="61"/>
      <c r="O1952" s="61"/>
      <c r="P1952" s="61"/>
      <c r="Q1952" s="61"/>
      <c r="R1952" s="61"/>
      <c r="S1952" s="61"/>
      <c r="T1952" s="61"/>
      <c r="U1952" s="61"/>
      <c r="V1952" s="61"/>
      <c r="W1952" s="61"/>
      <c r="X1952" s="61"/>
      <c r="Y1952" s="61"/>
      <c r="Z1952" s="61"/>
    </row>
    <row r="1953" ht="15.75" customHeight="1">
      <c r="A1953" s="61"/>
      <c r="B1953" s="61"/>
      <c r="C1953" s="61"/>
      <c r="D1953" s="61"/>
      <c r="E1953" s="61"/>
      <c r="F1953" s="61"/>
      <c r="G1953" s="61"/>
      <c r="H1953" s="63"/>
      <c r="I1953" s="61"/>
      <c r="J1953" s="61"/>
      <c r="K1953" s="61"/>
      <c r="L1953" s="61"/>
      <c r="M1953" s="61"/>
      <c r="N1953" s="61"/>
      <c r="O1953" s="61"/>
      <c r="P1953" s="61"/>
      <c r="Q1953" s="61"/>
      <c r="R1953" s="61"/>
      <c r="S1953" s="61"/>
      <c r="T1953" s="61"/>
      <c r="U1953" s="61"/>
      <c r="V1953" s="61"/>
      <c r="W1953" s="61"/>
      <c r="X1953" s="61"/>
      <c r="Y1953" s="61"/>
      <c r="Z1953" s="61"/>
    </row>
    <row r="1954" ht="15.75" customHeight="1">
      <c r="A1954" s="61"/>
      <c r="B1954" s="61"/>
      <c r="C1954" s="61"/>
      <c r="D1954" s="61"/>
      <c r="E1954" s="61"/>
      <c r="F1954" s="61"/>
      <c r="G1954" s="61"/>
      <c r="H1954" s="63"/>
      <c r="I1954" s="61"/>
      <c r="J1954" s="61"/>
      <c r="K1954" s="61"/>
      <c r="L1954" s="61"/>
      <c r="M1954" s="61"/>
      <c r="N1954" s="61"/>
      <c r="O1954" s="61"/>
      <c r="P1954" s="61"/>
      <c r="Q1954" s="61"/>
      <c r="R1954" s="61"/>
      <c r="S1954" s="61"/>
      <c r="T1954" s="61"/>
      <c r="U1954" s="61"/>
      <c r="V1954" s="61"/>
      <c r="W1954" s="61"/>
      <c r="X1954" s="61"/>
      <c r="Y1954" s="61"/>
      <c r="Z1954" s="61"/>
    </row>
    <row r="1955" ht="15.75" customHeight="1">
      <c r="A1955" s="61"/>
      <c r="B1955" s="61"/>
      <c r="C1955" s="61"/>
      <c r="D1955" s="61"/>
      <c r="E1955" s="61"/>
      <c r="F1955" s="61"/>
      <c r="G1955" s="61"/>
      <c r="H1955" s="63"/>
      <c r="I1955" s="61"/>
      <c r="J1955" s="61"/>
      <c r="K1955" s="61"/>
      <c r="L1955" s="61"/>
      <c r="M1955" s="61"/>
      <c r="N1955" s="61"/>
      <c r="O1955" s="61"/>
      <c r="P1955" s="61"/>
      <c r="Q1955" s="61"/>
      <c r="R1955" s="61"/>
      <c r="S1955" s="61"/>
      <c r="T1955" s="61"/>
      <c r="U1955" s="61"/>
      <c r="V1955" s="61"/>
      <c r="W1955" s="61"/>
      <c r="X1955" s="61"/>
      <c r="Y1955" s="61"/>
      <c r="Z1955" s="61"/>
    </row>
    <row r="1956" ht="15.75" customHeight="1">
      <c r="A1956" s="61"/>
      <c r="B1956" s="61"/>
      <c r="C1956" s="61"/>
      <c r="D1956" s="61"/>
      <c r="E1956" s="61"/>
      <c r="F1956" s="61"/>
      <c r="G1956" s="61"/>
      <c r="H1956" s="63"/>
      <c r="I1956" s="61"/>
      <c r="J1956" s="61"/>
      <c r="K1956" s="61"/>
      <c r="L1956" s="61"/>
      <c r="M1956" s="61"/>
      <c r="N1956" s="61"/>
      <c r="O1956" s="61"/>
      <c r="P1956" s="61"/>
      <c r="Q1956" s="61"/>
      <c r="R1956" s="61"/>
      <c r="S1956" s="61"/>
      <c r="T1956" s="61"/>
      <c r="U1956" s="61"/>
      <c r="V1956" s="61"/>
      <c r="W1956" s="61"/>
      <c r="X1956" s="61"/>
      <c r="Y1956" s="61"/>
      <c r="Z1956" s="61"/>
    </row>
    <row r="1957" ht="15.75" customHeight="1">
      <c r="A1957" s="61"/>
      <c r="B1957" s="61"/>
      <c r="C1957" s="61"/>
      <c r="D1957" s="61"/>
      <c r="E1957" s="61"/>
      <c r="F1957" s="61"/>
      <c r="G1957" s="61"/>
      <c r="H1957" s="63"/>
      <c r="I1957" s="61"/>
      <c r="J1957" s="61"/>
      <c r="K1957" s="61"/>
      <c r="L1957" s="61"/>
      <c r="M1957" s="61"/>
      <c r="N1957" s="61"/>
      <c r="O1957" s="61"/>
      <c r="P1957" s="61"/>
      <c r="Q1957" s="61"/>
      <c r="R1957" s="61"/>
      <c r="S1957" s="61"/>
      <c r="T1957" s="61"/>
      <c r="U1957" s="61"/>
      <c r="V1957" s="61"/>
      <c r="W1957" s="61"/>
      <c r="X1957" s="61"/>
      <c r="Y1957" s="61"/>
      <c r="Z1957" s="61"/>
    </row>
    <row r="1958" ht="15.75" customHeight="1">
      <c r="A1958" s="61"/>
      <c r="B1958" s="61"/>
      <c r="C1958" s="61"/>
      <c r="D1958" s="61"/>
      <c r="E1958" s="61"/>
      <c r="F1958" s="61"/>
      <c r="G1958" s="61"/>
      <c r="H1958" s="63"/>
      <c r="I1958" s="61"/>
      <c r="J1958" s="61"/>
      <c r="K1958" s="61"/>
      <c r="L1958" s="61"/>
      <c r="M1958" s="61"/>
      <c r="N1958" s="61"/>
      <c r="O1958" s="61"/>
      <c r="P1958" s="61"/>
      <c r="Q1958" s="61"/>
      <c r="R1958" s="61"/>
      <c r="S1958" s="61"/>
      <c r="T1958" s="61"/>
      <c r="U1958" s="61"/>
      <c r="V1958" s="61"/>
      <c r="W1958" s="61"/>
      <c r="X1958" s="61"/>
      <c r="Y1958" s="61"/>
      <c r="Z1958" s="61"/>
    </row>
    <row r="1959" ht="15.75" customHeight="1">
      <c r="A1959" s="61"/>
      <c r="B1959" s="61"/>
      <c r="C1959" s="61"/>
      <c r="D1959" s="61"/>
      <c r="E1959" s="61"/>
      <c r="F1959" s="61"/>
      <c r="G1959" s="61"/>
      <c r="H1959" s="63"/>
      <c r="I1959" s="61"/>
      <c r="J1959" s="61"/>
      <c r="K1959" s="61"/>
      <c r="L1959" s="61"/>
      <c r="M1959" s="61"/>
      <c r="N1959" s="61"/>
      <c r="O1959" s="61"/>
      <c r="P1959" s="61"/>
      <c r="Q1959" s="61"/>
      <c r="R1959" s="61"/>
      <c r="S1959" s="61"/>
      <c r="T1959" s="61"/>
      <c r="U1959" s="61"/>
      <c r="V1959" s="61"/>
      <c r="W1959" s="61"/>
      <c r="X1959" s="61"/>
      <c r="Y1959" s="61"/>
      <c r="Z1959" s="61"/>
    </row>
    <row r="1960" ht="15.75" customHeight="1">
      <c r="A1960" s="61"/>
      <c r="B1960" s="61"/>
      <c r="C1960" s="61"/>
      <c r="D1960" s="61"/>
      <c r="E1960" s="61"/>
      <c r="F1960" s="61"/>
      <c r="G1960" s="61"/>
      <c r="H1960" s="63"/>
      <c r="I1960" s="61"/>
      <c r="J1960" s="61"/>
      <c r="K1960" s="61"/>
      <c r="L1960" s="61"/>
      <c r="M1960" s="61"/>
      <c r="N1960" s="61"/>
      <c r="O1960" s="61"/>
      <c r="P1960" s="61"/>
      <c r="Q1960" s="61"/>
      <c r="R1960" s="61"/>
      <c r="S1960" s="61"/>
      <c r="T1960" s="61"/>
      <c r="U1960" s="61"/>
      <c r="V1960" s="61"/>
      <c r="W1960" s="61"/>
      <c r="X1960" s="61"/>
      <c r="Y1960" s="61"/>
      <c r="Z1960" s="61"/>
    </row>
    <row r="1961" ht="15.75" customHeight="1">
      <c r="A1961" s="61"/>
      <c r="B1961" s="61"/>
      <c r="C1961" s="61"/>
      <c r="D1961" s="61"/>
      <c r="E1961" s="61"/>
      <c r="F1961" s="61"/>
      <c r="G1961" s="61"/>
      <c r="H1961" s="63"/>
      <c r="I1961" s="61"/>
      <c r="J1961" s="61"/>
      <c r="K1961" s="61"/>
      <c r="L1961" s="61"/>
      <c r="M1961" s="61"/>
      <c r="N1961" s="61"/>
      <c r="O1961" s="61"/>
      <c r="P1961" s="61"/>
      <c r="Q1961" s="61"/>
      <c r="R1961" s="61"/>
      <c r="S1961" s="61"/>
      <c r="T1961" s="61"/>
      <c r="U1961" s="61"/>
      <c r="V1961" s="61"/>
      <c r="W1961" s="61"/>
      <c r="X1961" s="61"/>
      <c r="Y1961" s="61"/>
      <c r="Z1961" s="61"/>
    </row>
    <row r="1962" ht="15.75" customHeight="1">
      <c r="A1962" s="61"/>
      <c r="B1962" s="61"/>
      <c r="C1962" s="61"/>
      <c r="D1962" s="61"/>
      <c r="E1962" s="61"/>
      <c r="F1962" s="61"/>
      <c r="G1962" s="61"/>
      <c r="H1962" s="63"/>
      <c r="I1962" s="61"/>
      <c r="J1962" s="61"/>
      <c r="K1962" s="61"/>
      <c r="L1962" s="61"/>
      <c r="M1962" s="61"/>
      <c r="N1962" s="61"/>
      <c r="O1962" s="61"/>
      <c r="P1962" s="61"/>
      <c r="Q1962" s="61"/>
      <c r="R1962" s="61"/>
      <c r="S1962" s="61"/>
      <c r="T1962" s="61"/>
      <c r="U1962" s="61"/>
      <c r="V1962" s="61"/>
      <c r="W1962" s="61"/>
      <c r="X1962" s="61"/>
      <c r="Y1962" s="61"/>
      <c r="Z1962" s="61"/>
    </row>
    <row r="1963" ht="15.75" customHeight="1">
      <c r="A1963" s="61"/>
      <c r="B1963" s="61"/>
      <c r="C1963" s="61"/>
      <c r="D1963" s="61"/>
      <c r="E1963" s="61"/>
      <c r="F1963" s="61"/>
      <c r="G1963" s="61"/>
      <c r="H1963" s="63"/>
      <c r="I1963" s="61"/>
      <c r="J1963" s="61"/>
      <c r="K1963" s="61"/>
      <c r="L1963" s="61"/>
      <c r="M1963" s="61"/>
      <c r="N1963" s="61"/>
      <c r="O1963" s="61"/>
      <c r="P1963" s="61"/>
      <c r="Q1963" s="61"/>
      <c r="R1963" s="61"/>
      <c r="S1963" s="61"/>
      <c r="T1963" s="61"/>
      <c r="U1963" s="61"/>
      <c r="V1963" s="61"/>
      <c r="W1963" s="61"/>
      <c r="X1963" s="61"/>
      <c r="Y1963" s="61"/>
      <c r="Z1963" s="61"/>
    </row>
    <row r="1964" ht="15.75" customHeight="1">
      <c r="A1964" s="61"/>
      <c r="B1964" s="61"/>
      <c r="C1964" s="61"/>
      <c r="D1964" s="61"/>
      <c r="E1964" s="61"/>
      <c r="F1964" s="61"/>
      <c r="G1964" s="61"/>
      <c r="H1964" s="63"/>
      <c r="I1964" s="61"/>
      <c r="J1964" s="61"/>
      <c r="K1964" s="61"/>
      <c r="L1964" s="61"/>
      <c r="M1964" s="61"/>
      <c r="N1964" s="61"/>
      <c r="O1964" s="61"/>
      <c r="P1964" s="61"/>
      <c r="Q1964" s="61"/>
      <c r="R1964" s="61"/>
      <c r="S1964" s="61"/>
      <c r="T1964" s="61"/>
      <c r="U1964" s="61"/>
      <c r="V1964" s="61"/>
      <c r="W1964" s="61"/>
      <c r="X1964" s="61"/>
      <c r="Y1964" s="61"/>
      <c r="Z1964" s="61"/>
    </row>
    <row r="1965" ht="15.75" customHeight="1">
      <c r="A1965" s="61"/>
      <c r="B1965" s="61"/>
      <c r="C1965" s="61"/>
      <c r="D1965" s="61"/>
      <c r="E1965" s="61"/>
      <c r="F1965" s="61"/>
      <c r="G1965" s="61"/>
      <c r="H1965" s="63"/>
      <c r="I1965" s="61"/>
      <c r="J1965" s="61"/>
      <c r="K1965" s="61"/>
      <c r="L1965" s="61"/>
      <c r="M1965" s="61"/>
      <c r="N1965" s="61"/>
      <c r="O1965" s="61"/>
      <c r="P1965" s="61"/>
      <c r="Q1965" s="61"/>
      <c r="R1965" s="61"/>
      <c r="S1965" s="61"/>
      <c r="T1965" s="61"/>
      <c r="U1965" s="61"/>
      <c r="V1965" s="61"/>
      <c r="W1965" s="61"/>
      <c r="X1965" s="61"/>
      <c r="Y1965" s="61"/>
      <c r="Z1965" s="61"/>
    </row>
    <row r="1966" ht="15.75" customHeight="1">
      <c r="A1966" s="61"/>
      <c r="B1966" s="61"/>
      <c r="C1966" s="61"/>
      <c r="D1966" s="61"/>
      <c r="E1966" s="61"/>
      <c r="F1966" s="61"/>
      <c r="G1966" s="61"/>
      <c r="H1966" s="63"/>
      <c r="I1966" s="61"/>
      <c r="J1966" s="61"/>
      <c r="K1966" s="61"/>
      <c r="L1966" s="61"/>
      <c r="M1966" s="61"/>
      <c r="N1966" s="61"/>
      <c r="O1966" s="61"/>
      <c r="P1966" s="61"/>
      <c r="Q1966" s="61"/>
      <c r="R1966" s="61"/>
      <c r="S1966" s="61"/>
      <c r="T1966" s="61"/>
      <c r="U1966" s="61"/>
      <c r="V1966" s="61"/>
      <c r="W1966" s="61"/>
      <c r="X1966" s="61"/>
      <c r="Y1966" s="61"/>
      <c r="Z1966" s="61"/>
    </row>
    <row r="1967" ht="15.75" customHeight="1">
      <c r="A1967" s="61"/>
      <c r="B1967" s="61"/>
      <c r="C1967" s="61"/>
      <c r="D1967" s="61"/>
      <c r="E1967" s="61"/>
      <c r="F1967" s="61"/>
      <c r="G1967" s="61"/>
      <c r="H1967" s="63"/>
      <c r="I1967" s="61"/>
      <c r="J1967" s="61"/>
      <c r="K1967" s="61"/>
      <c r="L1967" s="61"/>
      <c r="M1967" s="61"/>
      <c r="N1967" s="61"/>
      <c r="O1967" s="61"/>
      <c r="P1967" s="61"/>
      <c r="Q1967" s="61"/>
      <c r="R1967" s="61"/>
      <c r="S1967" s="61"/>
      <c r="T1967" s="61"/>
      <c r="U1967" s="61"/>
      <c r="V1967" s="61"/>
      <c r="W1967" s="61"/>
      <c r="X1967" s="61"/>
      <c r="Y1967" s="61"/>
      <c r="Z1967" s="61"/>
    </row>
    <row r="1968" ht="15.75" customHeight="1">
      <c r="A1968" s="61"/>
      <c r="B1968" s="61"/>
      <c r="C1968" s="61"/>
      <c r="D1968" s="61"/>
      <c r="E1968" s="61"/>
      <c r="F1968" s="61"/>
      <c r="G1968" s="61"/>
      <c r="H1968" s="63"/>
      <c r="I1968" s="61"/>
      <c r="J1968" s="61"/>
      <c r="K1968" s="61"/>
      <c r="L1968" s="61"/>
      <c r="M1968" s="61"/>
      <c r="N1968" s="61"/>
      <c r="O1968" s="61"/>
      <c r="P1968" s="61"/>
      <c r="Q1968" s="61"/>
      <c r="R1968" s="61"/>
      <c r="S1968" s="61"/>
      <c r="T1968" s="61"/>
      <c r="U1968" s="61"/>
      <c r="V1968" s="61"/>
      <c r="W1968" s="61"/>
      <c r="X1968" s="61"/>
      <c r="Y1968" s="61"/>
      <c r="Z1968" s="61"/>
    </row>
    <row r="1969" ht="15.75" customHeight="1">
      <c r="A1969" s="61"/>
      <c r="B1969" s="61"/>
      <c r="C1969" s="61"/>
      <c r="D1969" s="61"/>
      <c r="E1969" s="61"/>
      <c r="F1969" s="61"/>
      <c r="G1969" s="61"/>
      <c r="H1969" s="63"/>
      <c r="I1969" s="61"/>
      <c r="J1969" s="61"/>
      <c r="K1969" s="61"/>
      <c r="L1969" s="61"/>
      <c r="M1969" s="61"/>
      <c r="N1969" s="61"/>
      <c r="O1969" s="61"/>
      <c r="P1969" s="61"/>
      <c r="Q1969" s="61"/>
      <c r="R1969" s="61"/>
      <c r="S1969" s="61"/>
      <c r="T1969" s="61"/>
      <c r="U1969" s="61"/>
      <c r="V1969" s="61"/>
      <c r="W1969" s="61"/>
      <c r="X1969" s="61"/>
      <c r="Y1969" s="61"/>
      <c r="Z1969" s="61"/>
    </row>
    <row r="1970" ht="15.75" customHeight="1">
      <c r="A1970" s="61"/>
      <c r="B1970" s="61"/>
      <c r="C1970" s="61"/>
      <c r="D1970" s="61"/>
      <c r="E1970" s="61"/>
      <c r="F1970" s="61"/>
      <c r="G1970" s="61"/>
      <c r="H1970" s="63"/>
      <c r="I1970" s="61"/>
      <c r="J1970" s="61"/>
      <c r="K1970" s="61"/>
      <c r="L1970" s="61"/>
      <c r="M1970" s="61"/>
      <c r="N1970" s="61"/>
      <c r="O1970" s="61"/>
      <c r="P1970" s="61"/>
      <c r="Q1970" s="61"/>
      <c r="R1970" s="61"/>
      <c r="S1970" s="61"/>
      <c r="T1970" s="61"/>
      <c r="U1970" s="61"/>
      <c r="V1970" s="61"/>
      <c r="W1970" s="61"/>
      <c r="X1970" s="61"/>
      <c r="Y1970" s="61"/>
      <c r="Z1970" s="61"/>
    </row>
    <row r="1971" ht="15.75" customHeight="1">
      <c r="A1971" s="61"/>
      <c r="B1971" s="61"/>
      <c r="C1971" s="61"/>
      <c r="D1971" s="61"/>
      <c r="E1971" s="61"/>
      <c r="F1971" s="61"/>
      <c r="G1971" s="61"/>
      <c r="H1971" s="63"/>
      <c r="I1971" s="61"/>
      <c r="J1971" s="61"/>
      <c r="K1971" s="61"/>
      <c r="L1971" s="61"/>
      <c r="M1971" s="61"/>
      <c r="N1971" s="61"/>
      <c r="O1971" s="61"/>
      <c r="P1971" s="61"/>
      <c r="Q1971" s="61"/>
      <c r="R1971" s="61"/>
      <c r="S1971" s="61"/>
      <c r="T1971" s="61"/>
      <c r="U1971" s="61"/>
      <c r="V1971" s="61"/>
      <c r="W1971" s="61"/>
      <c r="X1971" s="61"/>
      <c r="Y1971" s="61"/>
      <c r="Z1971" s="61"/>
    </row>
    <row r="1972" ht="15.75" customHeight="1">
      <c r="A1972" s="61"/>
      <c r="B1972" s="61"/>
      <c r="C1972" s="61"/>
      <c r="D1972" s="61"/>
      <c r="E1972" s="61"/>
      <c r="F1972" s="61"/>
      <c r="G1972" s="61"/>
      <c r="H1972" s="63"/>
      <c r="I1972" s="61"/>
      <c r="J1972" s="61"/>
      <c r="K1972" s="61"/>
      <c r="L1972" s="61"/>
      <c r="M1972" s="61"/>
      <c r="N1972" s="61"/>
      <c r="O1972" s="61"/>
      <c r="P1972" s="61"/>
      <c r="Q1972" s="61"/>
      <c r="R1972" s="61"/>
      <c r="S1972" s="61"/>
      <c r="T1972" s="61"/>
      <c r="U1972" s="61"/>
      <c r="V1972" s="61"/>
      <c r="W1972" s="61"/>
      <c r="X1972" s="61"/>
      <c r="Y1972" s="61"/>
      <c r="Z1972" s="61"/>
    </row>
    <row r="1973" ht="15.75" customHeight="1">
      <c r="A1973" s="61"/>
      <c r="B1973" s="61"/>
      <c r="C1973" s="61"/>
      <c r="D1973" s="61"/>
      <c r="E1973" s="61"/>
      <c r="F1973" s="61"/>
      <c r="G1973" s="61"/>
      <c r="H1973" s="63"/>
      <c r="I1973" s="61"/>
      <c r="J1973" s="61"/>
      <c r="K1973" s="61"/>
      <c r="L1973" s="61"/>
      <c r="M1973" s="61"/>
      <c r="N1973" s="61"/>
      <c r="O1973" s="61"/>
      <c r="P1973" s="61"/>
      <c r="Q1973" s="61"/>
      <c r="R1973" s="61"/>
      <c r="S1973" s="61"/>
      <c r="T1973" s="61"/>
      <c r="U1973" s="61"/>
      <c r="V1973" s="61"/>
      <c r="W1973" s="61"/>
      <c r="X1973" s="61"/>
      <c r="Y1973" s="61"/>
      <c r="Z1973" s="61"/>
    </row>
    <row r="1974" ht="15.75" customHeight="1">
      <c r="A1974" s="61"/>
      <c r="B1974" s="61"/>
      <c r="C1974" s="61"/>
      <c r="D1974" s="61"/>
      <c r="E1974" s="61"/>
      <c r="F1974" s="61"/>
      <c r="G1974" s="61"/>
      <c r="H1974" s="63"/>
      <c r="I1974" s="61"/>
      <c r="J1974" s="61"/>
      <c r="K1974" s="61"/>
      <c r="L1974" s="61"/>
      <c r="M1974" s="61"/>
      <c r="N1974" s="61"/>
      <c r="O1974" s="61"/>
      <c r="P1974" s="61"/>
      <c r="Q1974" s="61"/>
      <c r="R1974" s="61"/>
      <c r="S1974" s="61"/>
      <c r="T1974" s="61"/>
      <c r="U1974" s="61"/>
      <c r="V1974" s="61"/>
      <c r="W1974" s="61"/>
      <c r="X1974" s="61"/>
      <c r="Y1974" s="61"/>
      <c r="Z1974" s="61"/>
    </row>
    <row r="1975" ht="15.75" customHeight="1">
      <c r="A1975" s="61"/>
      <c r="B1975" s="61"/>
      <c r="C1975" s="61"/>
      <c r="D1975" s="61"/>
      <c r="E1975" s="61"/>
      <c r="F1975" s="61"/>
      <c r="G1975" s="61"/>
      <c r="H1975" s="63"/>
      <c r="I1975" s="61"/>
      <c r="J1975" s="61"/>
      <c r="K1975" s="61"/>
      <c r="L1975" s="61"/>
      <c r="M1975" s="61"/>
      <c r="N1975" s="61"/>
      <c r="O1975" s="61"/>
      <c r="P1975" s="61"/>
      <c r="Q1975" s="61"/>
      <c r="R1975" s="61"/>
      <c r="S1975" s="61"/>
      <c r="T1975" s="61"/>
      <c r="U1975" s="61"/>
      <c r="V1975" s="61"/>
      <c r="W1975" s="61"/>
      <c r="X1975" s="61"/>
      <c r="Y1975" s="61"/>
      <c r="Z1975" s="61"/>
    </row>
    <row r="1976" ht="15.75" customHeight="1">
      <c r="A1976" s="61"/>
      <c r="B1976" s="61"/>
      <c r="C1976" s="61"/>
      <c r="D1976" s="61"/>
      <c r="E1976" s="61"/>
      <c r="F1976" s="61"/>
      <c r="G1976" s="61"/>
      <c r="H1976" s="63"/>
      <c r="I1976" s="61"/>
      <c r="J1976" s="61"/>
      <c r="K1976" s="61"/>
      <c r="L1976" s="61"/>
      <c r="M1976" s="61"/>
      <c r="N1976" s="61"/>
      <c r="O1976" s="61"/>
      <c r="P1976" s="61"/>
      <c r="Q1976" s="61"/>
      <c r="R1976" s="61"/>
      <c r="S1976" s="61"/>
      <c r="T1976" s="61"/>
      <c r="U1976" s="61"/>
      <c r="V1976" s="61"/>
      <c r="W1976" s="61"/>
      <c r="X1976" s="61"/>
      <c r="Y1976" s="61"/>
      <c r="Z1976" s="61"/>
    </row>
    <row r="1977" ht="15.75" customHeight="1">
      <c r="A1977" s="61"/>
      <c r="B1977" s="61"/>
      <c r="C1977" s="61"/>
      <c r="D1977" s="61"/>
      <c r="E1977" s="61"/>
      <c r="F1977" s="61"/>
      <c r="G1977" s="61"/>
      <c r="H1977" s="63"/>
      <c r="I1977" s="61"/>
      <c r="J1977" s="61"/>
      <c r="K1977" s="61"/>
      <c r="L1977" s="61"/>
      <c r="M1977" s="61"/>
      <c r="N1977" s="61"/>
      <c r="O1977" s="61"/>
      <c r="P1977" s="61"/>
      <c r="Q1977" s="61"/>
      <c r="R1977" s="61"/>
      <c r="S1977" s="61"/>
      <c r="T1977" s="61"/>
      <c r="U1977" s="61"/>
      <c r="V1977" s="61"/>
      <c r="W1977" s="61"/>
      <c r="X1977" s="61"/>
      <c r="Y1977" s="61"/>
      <c r="Z1977" s="61"/>
    </row>
    <row r="1978" ht="15.75" customHeight="1">
      <c r="A1978" s="61"/>
      <c r="B1978" s="61"/>
      <c r="C1978" s="61"/>
      <c r="D1978" s="61"/>
      <c r="E1978" s="61"/>
      <c r="F1978" s="61"/>
      <c r="G1978" s="61"/>
      <c r="H1978" s="63"/>
      <c r="I1978" s="61"/>
      <c r="J1978" s="61"/>
      <c r="K1978" s="61"/>
      <c r="L1978" s="61"/>
      <c r="M1978" s="61"/>
      <c r="N1978" s="61"/>
      <c r="O1978" s="61"/>
      <c r="P1978" s="61"/>
      <c r="Q1978" s="61"/>
      <c r="R1978" s="61"/>
      <c r="S1978" s="61"/>
      <c r="T1978" s="61"/>
      <c r="U1978" s="61"/>
      <c r="V1978" s="61"/>
      <c r="W1978" s="61"/>
      <c r="X1978" s="61"/>
      <c r="Y1978" s="61"/>
      <c r="Z1978" s="61"/>
    </row>
    <row r="1979" ht="15.75" customHeight="1">
      <c r="A1979" s="61"/>
      <c r="B1979" s="61"/>
      <c r="C1979" s="61"/>
      <c r="D1979" s="61"/>
      <c r="E1979" s="61"/>
      <c r="F1979" s="61"/>
      <c r="G1979" s="61"/>
      <c r="H1979" s="63"/>
      <c r="I1979" s="61"/>
      <c r="J1979" s="61"/>
      <c r="K1979" s="61"/>
      <c r="L1979" s="61"/>
      <c r="M1979" s="61"/>
      <c r="N1979" s="61"/>
      <c r="O1979" s="61"/>
      <c r="P1979" s="61"/>
      <c r="Q1979" s="61"/>
      <c r="R1979" s="61"/>
      <c r="S1979" s="61"/>
      <c r="T1979" s="61"/>
      <c r="U1979" s="61"/>
      <c r="V1979" s="61"/>
      <c r="W1979" s="61"/>
      <c r="X1979" s="61"/>
      <c r="Y1979" s="61"/>
      <c r="Z1979" s="61"/>
    </row>
    <row r="1980" ht="15.75" customHeight="1">
      <c r="A1980" s="61"/>
      <c r="B1980" s="61"/>
      <c r="C1980" s="61"/>
      <c r="D1980" s="61"/>
      <c r="E1980" s="61"/>
      <c r="F1980" s="61"/>
      <c r="G1980" s="61"/>
      <c r="H1980" s="63"/>
      <c r="I1980" s="61"/>
      <c r="J1980" s="61"/>
      <c r="K1980" s="61"/>
      <c r="L1980" s="61"/>
      <c r="M1980" s="61"/>
      <c r="N1980" s="61"/>
      <c r="O1980" s="61"/>
      <c r="P1980" s="61"/>
      <c r="Q1980" s="61"/>
      <c r="R1980" s="61"/>
      <c r="S1980" s="61"/>
      <c r="T1980" s="61"/>
      <c r="U1980" s="61"/>
      <c r="V1980" s="61"/>
      <c r="W1980" s="61"/>
      <c r="X1980" s="61"/>
      <c r="Y1980" s="61"/>
      <c r="Z1980" s="61"/>
    </row>
    <row r="1981" ht="15.75" customHeight="1">
      <c r="A1981" s="61"/>
      <c r="B1981" s="61"/>
      <c r="C1981" s="61"/>
      <c r="D1981" s="61"/>
      <c r="E1981" s="61"/>
      <c r="F1981" s="61"/>
      <c r="G1981" s="61"/>
      <c r="H1981" s="63"/>
      <c r="I1981" s="61"/>
      <c r="J1981" s="61"/>
      <c r="K1981" s="61"/>
      <c r="L1981" s="61"/>
      <c r="M1981" s="61"/>
      <c r="N1981" s="61"/>
      <c r="O1981" s="61"/>
      <c r="P1981" s="61"/>
      <c r="Q1981" s="61"/>
      <c r="R1981" s="61"/>
      <c r="S1981" s="61"/>
      <c r="T1981" s="61"/>
      <c r="U1981" s="61"/>
      <c r="V1981" s="61"/>
      <c r="W1981" s="61"/>
      <c r="X1981" s="61"/>
      <c r="Y1981" s="61"/>
      <c r="Z1981" s="61"/>
    </row>
    <row r="1982" ht="15.75" customHeight="1">
      <c r="A1982" s="61"/>
      <c r="B1982" s="61"/>
      <c r="C1982" s="61"/>
      <c r="D1982" s="61"/>
      <c r="E1982" s="61"/>
      <c r="F1982" s="61"/>
      <c r="G1982" s="61"/>
      <c r="H1982" s="63"/>
      <c r="I1982" s="61"/>
      <c r="J1982" s="61"/>
      <c r="K1982" s="61"/>
      <c r="L1982" s="61"/>
      <c r="M1982" s="61"/>
      <c r="N1982" s="61"/>
      <c r="O1982" s="61"/>
      <c r="P1982" s="61"/>
      <c r="Q1982" s="61"/>
      <c r="R1982" s="61"/>
      <c r="S1982" s="61"/>
      <c r="T1982" s="61"/>
      <c r="U1982" s="61"/>
      <c r="V1982" s="61"/>
      <c r="W1982" s="61"/>
      <c r="X1982" s="61"/>
      <c r="Y1982" s="61"/>
      <c r="Z1982" s="61"/>
    </row>
    <row r="1983" ht="15.75" customHeight="1">
      <c r="A1983" s="61"/>
      <c r="B1983" s="61"/>
      <c r="C1983" s="61"/>
      <c r="D1983" s="61"/>
      <c r="E1983" s="61"/>
      <c r="F1983" s="61"/>
      <c r="G1983" s="61"/>
      <c r="H1983" s="63"/>
      <c r="I1983" s="61"/>
      <c r="J1983" s="61"/>
      <c r="K1983" s="61"/>
      <c r="L1983" s="61"/>
      <c r="M1983" s="61"/>
      <c r="N1983" s="61"/>
      <c r="O1983" s="61"/>
      <c r="P1983" s="61"/>
      <c r="Q1983" s="61"/>
      <c r="R1983" s="61"/>
      <c r="S1983" s="61"/>
      <c r="T1983" s="61"/>
      <c r="U1983" s="61"/>
      <c r="V1983" s="61"/>
      <c r="W1983" s="61"/>
      <c r="X1983" s="61"/>
      <c r="Y1983" s="61"/>
      <c r="Z1983" s="61"/>
    </row>
    <row r="1984" ht="15.75" customHeight="1">
      <c r="A1984" s="61"/>
      <c r="B1984" s="61"/>
      <c r="C1984" s="61"/>
      <c r="D1984" s="61"/>
      <c r="E1984" s="61"/>
      <c r="F1984" s="61"/>
      <c r="G1984" s="61"/>
      <c r="H1984" s="63"/>
      <c r="I1984" s="61"/>
      <c r="J1984" s="61"/>
      <c r="K1984" s="61"/>
      <c r="L1984" s="61"/>
      <c r="M1984" s="61"/>
      <c r="N1984" s="61"/>
      <c r="O1984" s="61"/>
      <c r="P1984" s="61"/>
      <c r="Q1984" s="61"/>
      <c r="R1984" s="61"/>
      <c r="S1984" s="61"/>
      <c r="T1984" s="61"/>
      <c r="U1984" s="61"/>
      <c r="V1984" s="61"/>
      <c r="W1984" s="61"/>
      <c r="X1984" s="61"/>
      <c r="Y1984" s="61"/>
      <c r="Z1984" s="61"/>
    </row>
    <row r="1985" ht="15.75" customHeight="1">
      <c r="A1985" s="61"/>
      <c r="B1985" s="61"/>
      <c r="C1985" s="61"/>
      <c r="D1985" s="61"/>
      <c r="E1985" s="61"/>
      <c r="F1985" s="61"/>
      <c r="G1985" s="61"/>
      <c r="H1985" s="63"/>
      <c r="I1985" s="61"/>
      <c r="J1985" s="61"/>
      <c r="K1985" s="61"/>
      <c r="L1985" s="61"/>
      <c r="M1985" s="61"/>
      <c r="N1985" s="61"/>
      <c r="O1985" s="61"/>
      <c r="P1985" s="61"/>
      <c r="Q1985" s="61"/>
      <c r="R1985" s="61"/>
      <c r="S1985" s="61"/>
      <c r="T1985" s="61"/>
      <c r="U1985" s="61"/>
      <c r="V1985" s="61"/>
      <c r="W1985" s="61"/>
      <c r="X1985" s="61"/>
      <c r="Y1985" s="61"/>
      <c r="Z1985" s="61"/>
    </row>
    <row r="1986" ht="15.75" customHeight="1">
      <c r="A1986" s="61"/>
      <c r="B1986" s="61"/>
      <c r="C1986" s="61"/>
      <c r="D1986" s="61"/>
      <c r="E1986" s="61"/>
      <c r="F1986" s="61"/>
      <c r="G1986" s="61"/>
      <c r="H1986" s="63"/>
      <c r="I1986" s="61"/>
      <c r="J1986" s="61"/>
      <c r="K1986" s="61"/>
      <c r="L1986" s="61"/>
      <c r="M1986" s="61"/>
      <c r="N1986" s="61"/>
      <c r="O1986" s="61"/>
      <c r="P1986" s="61"/>
      <c r="Q1986" s="61"/>
      <c r="R1986" s="61"/>
      <c r="S1986" s="61"/>
      <c r="T1986" s="61"/>
      <c r="U1986" s="61"/>
      <c r="V1986" s="61"/>
      <c r="W1986" s="61"/>
      <c r="X1986" s="61"/>
      <c r="Y1986" s="61"/>
      <c r="Z1986" s="61"/>
    </row>
    <row r="1987" ht="15.75" customHeight="1">
      <c r="A1987" s="61"/>
      <c r="B1987" s="61"/>
      <c r="C1987" s="61"/>
      <c r="D1987" s="61"/>
      <c r="E1987" s="61"/>
      <c r="F1987" s="61"/>
      <c r="G1987" s="61"/>
      <c r="H1987" s="63"/>
      <c r="I1987" s="61"/>
      <c r="J1987" s="61"/>
      <c r="K1987" s="61"/>
      <c r="L1987" s="61"/>
      <c r="M1987" s="61"/>
      <c r="N1987" s="61"/>
      <c r="O1987" s="61"/>
      <c r="P1987" s="61"/>
      <c r="Q1987" s="61"/>
      <c r="R1987" s="61"/>
      <c r="S1987" s="61"/>
      <c r="T1987" s="61"/>
      <c r="U1987" s="61"/>
      <c r="V1987" s="61"/>
      <c r="W1987" s="61"/>
      <c r="X1987" s="61"/>
      <c r="Y1987" s="61"/>
      <c r="Z1987" s="61"/>
    </row>
    <row r="1988" ht="15.75" customHeight="1">
      <c r="A1988" s="61"/>
      <c r="B1988" s="61"/>
      <c r="C1988" s="61"/>
      <c r="D1988" s="61"/>
      <c r="E1988" s="61"/>
      <c r="F1988" s="61"/>
      <c r="G1988" s="61"/>
      <c r="H1988" s="63"/>
      <c r="I1988" s="61"/>
      <c r="J1988" s="61"/>
      <c r="K1988" s="61"/>
      <c r="L1988" s="61"/>
      <c r="M1988" s="61"/>
      <c r="N1988" s="61"/>
      <c r="O1988" s="61"/>
      <c r="P1988" s="61"/>
      <c r="Q1988" s="61"/>
      <c r="R1988" s="61"/>
      <c r="S1988" s="61"/>
      <c r="T1988" s="61"/>
      <c r="U1988" s="61"/>
      <c r="V1988" s="61"/>
      <c r="W1988" s="61"/>
      <c r="X1988" s="61"/>
      <c r="Y1988" s="61"/>
      <c r="Z1988" s="61"/>
    </row>
    <row r="1989" ht="15.75" customHeight="1">
      <c r="A1989" s="61"/>
      <c r="B1989" s="61"/>
      <c r="C1989" s="61"/>
      <c r="D1989" s="61"/>
      <c r="E1989" s="61"/>
      <c r="F1989" s="61"/>
      <c r="G1989" s="61"/>
      <c r="H1989" s="63"/>
      <c r="I1989" s="61"/>
      <c r="J1989" s="61"/>
      <c r="K1989" s="61"/>
      <c r="L1989" s="61"/>
      <c r="M1989" s="61"/>
      <c r="N1989" s="61"/>
      <c r="O1989" s="61"/>
      <c r="P1989" s="61"/>
      <c r="Q1989" s="61"/>
      <c r="R1989" s="61"/>
      <c r="S1989" s="61"/>
      <c r="T1989" s="61"/>
      <c r="U1989" s="61"/>
      <c r="V1989" s="61"/>
      <c r="W1989" s="61"/>
      <c r="X1989" s="61"/>
      <c r="Y1989" s="61"/>
      <c r="Z1989" s="61"/>
    </row>
    <row r="1990" ht="15.75" customHeight="1">
      <c r="A1990" s="61"/>
      <c r="B1990" s="61"/>
      <c r="C1990" s="61"/>
      <c r="D1990" s="61"/>
      <c r="E1990" s="61"/>
      <c r="F1990" s="61"/>
      <c r="G1990" s="61"/>
      <c r="H1990" s="63"/>
      <c r="I1990" s="61"/>
      <c r="J1990" s="61"/>
      <c r="K1990" s="61"/>
      <c r="L1990" s="61"/>
      <c r="M1990" s="61"/>
      <c r="N1990" s="61"/>
      <c r="O1990" s="61"/>
      <c r="P1990" s="61"/>
      <c r="Q1990" s="61"/>
      <c r="R1990" s="61"/>
      <c r="S1990" s="61"/>
      <c r="T1990" s="61"/>
      <c r="U1990" s="61"/>
      <c r="V1990" s="61"/>
      <c r="W1990" s="61"/>
      <c r="X1990" s="61"/>
      <c r="Y1990" s="61"/>
      <c r="Z1990" s="61"/>
    </row>
    <row r="1991" ht="15.75" customHeight="1">
      <c r="A1991" s="61"/>
      <c r="B1991" s="61"/>
      <c r="C1991" s="61"/>
      <c r="D1991" s="61"/>
      <c r="E1991" s="61"/>
      <c r="F1991" s="61"/>
      <c r="G1991" s="61"/>
      <c r="H1991" s="63"/>
      <c r="I1991" s="61"/>
      <c r="J1991" s="61"/>
      <c r="K1991" s="61"/>
      <c r="L1991" s="61"/>
      <c r="M1991" s="61"/>
      <c r="N1991" s="61"/>
      <c r="O1991" s="61"/>
      <c r="P1991" s="61"/>
      <c r="Q1991" s="61"/>
      <c r="R1991" s="61"/>
      <c r="S1991" s="61"/>
      <c r="T1991" s="61"/>
      <c r="U1991" s="61"/>
      <c r="V1991" s="61"/>
      <c r="W1991" s="61"/>
      <c r="X1991" s="61"/>
      <c r="Y1991" s="61"/>
      <c r="Z1991" s="61"/>
    </row>
    <row r="1992" ht="15.75" customHeight="1">
      <c r="A1992" s="61"/>
      <c r="B1992" s="61"/>
      <c r="C1992" s="61"/>
      <c r="D1992" s="61"/>
      <c r="E1992" s="61"/>
      <c r="F1992" s="61"/>
      <c r="G1992" s="61"/>
      <c r="H1992" s="63"/>
      <c r="I1992" s="61"/>
      <c r="J1992" s="61"/>
      <c r="K1992" s="61"/>
      <c r="L1992" s="61"/>
      <c r="M1992" s="61"/>
      <c r="N1992" s="61"/>
      <c r="O1992" s="61"/>
      <c r="P1992" s="61"/>
      <c r="Q1992" s="61"/>
      <c r="R1992" s="61"/>
      <c r="S1992" s="61"/>
      <c r="T1992" s="61"/>
      <c r="U1992" s="61"/>
      <c r="V1992" s="61"/>
      <c r="W1992" s="61"/>
      <c r="X1992" s="61"/>
      <c r="Y1992" s="61"/>
      <c r="Z1992" s="61"/>
    </row>
    <row r="1993" ht="15.75" customHeight="1">
      <c r="A1993" s="61"/>
      <c r="B1993" s="61"/>
      <c r="C1993" s="61"/>
      <c r="D1993" s="61"/>
      <c r="E1993" s="61"/>
      <c r="F1993" s="61"/>
      <c r="G1993" s="61"/>
      <c r="H1993" s="63"/>
      <c r="I1993" s="61"/>
      <c r="J1993" s="61"/>
      <c r="K1993" s="61"/>
      <c r="L1993" s="61"/>
      <c r="M1993" s="61"/>
      <c r="N1993" s="61"/>
      <c r="O1993" s="61"/>
      <c r="P1993" s="61"/>
      <c r="Q1993" s="61"/>
      <c r="R1993" s="61"/>
      <c r="S1993" s="61"/>
      <c r="T1993" s="61"/>
      <c r="U1993" s="61"/>
      <c r="V1993" s="61"/>
      <c r="W1993" s="61"/>
      <c r="X1993" s="61"/>
      <c r="Y1993" s="61"/>
      <c r="Z1993" s="61"/>
    </row>
    <row r="1994" ht="15.75" customHeight="1">
      <c r="A1994" s="61"/>
      <c r="B1994" s="61"/>
      <c r="C1994" s="61"/>
      <c r="D1994" s="61"/>
      <c r="E1994" s="61"/>
      <c r="F1994" s="61"/>
      <c r="G1994" s="61"/>
      <c r="H1994" s="63"/>
      <c r="I1994" s="61"/>
      <c r="J1994" s="61"/>
      <c r="K1994" s="61"/>
      <c r="L1994" s="61"/>
      <c r="M1994" s="61"/>
      <c r="N1994" s="61"/>
      <c r="O1994" s="61"/>
      <c r="P1994" s="61"/>
      <c r="Q1994" s="61"/>
      <c r="R1994" s="61"/>
      <c r="S1994" s="61"/>
      <c r="T1994" s="61"/>
      <c r="U1994" s="61"/>
      <c r="V1994" s="61"/>
      <c r="W1994" s="61"/>
      <c r="X1994" s="61"/>
      <c r="Y1994" s="61"/>
      <c r="Z1994" s="61"/>
    </row>
    <row r="1995" ht="15.75" customHeight="1">
      <c r="A1995" s="61"/>
      <c r="B1995" s="61"/>
      <c r="C1995" s="61"/>
      <c r="D1995" s="61"/>
      <c r="E1995" s="61"/>
      <c r="F1995" s="61"/>
      <c r="G1995" s="61"/>
      <c r="H1995" s="63"/>
      <c r="I1995" s="61"/>
      <c r="J1995" s="61"/>
      <c r="K1995" s="61"/>
      <c r="L1995" s="61"/>
      <c r="M1995" s="61"/>
      <c r="N1995" s="61"/>
      <c r="O1995" s="61"/>
      <c r="P1995" s="61"/>
      <c r="Q1995" s="61"/>
      <c r="R1995" s="61"/>
      <c r="S1995" s="61"/>
      <c r="T1995" s="61"/>
      <c r="U1995" s="61"/>
      <c r="V1995" s="61"/>
      <c r="W1995" s="61"/>
      <c r="X1995" s="61"/>
      <c r="Y1995" s="61"/>
      <c r="Z1995" s="61"/>
    </row>
    <row r="1996" ht="15.75" customHeight="1">
      <c r="A1996" s="61"/>
      <c r="B1996" s="61"/>
      <c r="C1996" s="61"/>
      <c r="D1996" s="61"/>
      <c r="E1996" s="61"/>
      <c r="F1996" s="61"/>
      <c r="G1996" s="61"/>
      <c r="H1996" s="63"/>
      <c r="I1996" s="61"/>
      <c r="J1996" s="61"/>
      <c r="K1996" s="61"/>
      <c r="L1996" s="61"/>
      <c r="M1996" s="61"/>
      <c r="N1996" s="61"/>
      <c r="O1996" s="61"/>
      <c r="P1996" s="61"/>
      <c r="Q1996" s="61"/>
      <c r="R1996" s="61"/>
      <c r="S1996" s="61"/>
      <c r="T1996" s="61"/>
      <c r="U1996" s="61"/>
      <c r="V1996" s="61"/>
      <c r="W1996" s="61"/>
      <c r="X1996" s="61"/>
      <c r="Y1996" s="61"/>
      <c r="Z1996" s="61"/>
    </row>
    <row r="1997" ht="15.75" customHeight="1">
      <c r="A1997" s="61"/>
      <c r="B1997" s="61"/>
      <c r="C1997" s="61"/>
      <c r="D1997" s="61"/>
      <c r="E1997" s="61"/>
      <c r="F1997" s="61"/>
      <c r="G1997" s="61"/>
      <c r="H1997" s="63"/>
      <c r="I1997" s="61"/>
      <c r="J1997" s="61"/>
      <c r="K1997" s="61"/>
      <c r="L1997" s="61"/>
      <c r="M1997" s="61"/>
      <c r="N1997" s="61"/>
      <c r="O1997" s="61"/>
      <c r="P1997" s="61"/>
      <c r="Q1997" s="61"/>
      <c r="R1997" s="61"/>
      <c r="S1997" s="61"/>
      <c r="T1997" s="61"/>
      <c r="U1997" s="61"/>
      <c r="V1997" s="61"/>
      <c r="W1997" s="61"/>
      <c r="X1997" s="61"/>
      <c r="Y1997" s="61"/>
      <c r="Z1997" s="61"/>
    </row>
    <row r="1998" ht="15.75" customHeight="1">
      <c r="A1998" s="61"/>
      <c r="B1998" s="61"/>
      <c r="C1998" s="61"/>
      <c r="D1998" s="61"/>
      <c r="E1998" s="61"/>
      <c r="F1998" s="61"/>
      <c r="G1998" s="61"/>
      <c r="H1998" s="63"/>
      <c r="I1998" s="61"/>
      <c r="J1998" s="61"/>
      <c r="K1998" s="61"/>
      <c r="L1998" s="61"/>
      <c r="M1998" s="61"/>
      <c r="N1998" s="61"/>
      <c r="O1998" s="61"/>
      <c r="P1998" s="61"/>
      <c r="Q1998" s="61"/>
      <c r="R1998" s="61"/>
      <c r="S1998" s="61"/>
      <c r="T1998" s="61"/>
      <c r="U1998" s="61"/>
      <c r="V1998" s="61"/>
      <c r="W1998" s="61"/>
      <c r="X1998" s="61"/>
      <c r="Y1998" s="61"/>
      <c r="Z1998" s="61"/>
    </row>
    <row r="1999" ht="15.75" customHeight="1">
      <c r="A1999" s="61"/>
      <c r="B1999" s="61"/>
      <c r="C1999" s="61"/>
      <c r="D1999" s="61"/>
      <c r="E1999" s="61"/>
      <c r="F1999" s="61"/>
      <c r="G1999" s="61"/>
      <c r="H1999" s="63"/>
      <c r="I1999" s="61"/>
      <c r="J1999" s="61"/>
      <c r="K1999" s="61"/>
      <c r="L1999" s="61"/>
      <c r="M1999" s="61"/>
      <c r="N1999" s="61"/>
      <c r="O1999" s="61"/>
      <c r="P1999" s="61"/>
      <c r="Q1999" s="61"/>
      <c r="R1999" s="61"/>
      <c r="S1999" s="61"/>
      <c r="T1999" s="61"/>
      <c r="U1999" s="61"/>
      <c r="V1999" s="61"/>
      <c r="W1999" s="61"/>
      <c r="X1999" s="61"/>
      <c r="Y1999" s="61"/>
      <c r="Z1999" s="61"/>
    </row>
    <row r="2000" ht="15.75" customHeight="1">
      <c r="A2000" s="61"/>
      <c r="B2000" s="61"/>
      <c r="C2000" s="61"/>
      <c r="D2000" s="61"/>
      <c r="E2000" s="61"/>
      <c r="F2000" s="61"/>
      <c r="G2000" s="61"/>
      <c r="H2000" s="63"/>
      <c r="I2000" s="61"/>
      <c r="J2000" s="61"/>
      <c r="K2000" s="61"/>
      <c r="L2000" s="61"/>
      <c r="M2000" s="61"/>
      <c r="N2000" s="61"/>
      <c r="O2000" s="61"/>
      <c r="P2000" s="61"/>
      <c r="Q2000" s="61"/>
      <c r="R2000" s="61"/>
      <c r="S2000" s="61"/>
      <c r="T2000" s="61"/>
      <c r="U2000" s="61"/>
      <c r="V2000" s="61"/>
      <c r="W2000" s="61"/>
      <c r="X2000" s="61"/>
      <c r="Y2000" s="61"/>
      <c r="Z2000" s="61"/>
    </row>
    <row r="2001" ht="15.75" customHeight="1">
      <c r="A2001" s="61"/>
      <c r="B2001" s="61"/>
      <c r="C2001" s="61"/>
      <c r="D2001" s="61"/>
      <c r="E2001" s="61"/>
      <c r="F2001" s="61"/>
      <c r="G2001" s="61"/>
      <c r="H2001" s="63"/>
      <c r="I2001" s="61"/>
      <c r="J2001" s="61"/>
      <c r="K2001" s="61"/>
      <c r="L2001" s="61"/>
      <c r="M2001" s="61"/>
      <c r="N2001" s="61"/>
      <c r="O2001" s="61"/>
      <c r="P2001" s="61"/>
      <c r="Q2001" s="61"/>
      <c r="R2001" s="61"/>
      <c r="S2001" s="61"/>
      <c r="T2001" s="61"/>
      <c r="U2001" s="61"/>
      <c r="V2001" s="61"/>
      <c r="W2001" s="61"/>
      <c r="X2001" s="61"/>
      <c r="Y2001" s="61"/>
      <c r="Z2001" s="61"/>
    </row>
    <row r="2002" ht="15.75" customHeight="1">
      <c r="A2002" s="61"/>
      <c r="B2002" s="61"/>
      <c r="C2002" s="61"/>
      <c r="D2002" s="61"/>
      <c r="E2002" s="61"/>
      <c r="F2002" s="61"/>
      <c r="G2002" s="61"/>
      <c r="H2002" s="63"/>
      <c r="I2002" s="61"/>
      <c r="J2002" s="61"/>
      <c r="K2002" s="61"/>
      <c r="L2002" s="61"/>
      <c r="M2002" s="61"/>
      <c r="N2002" s="61"/>
      <c r="O2002" s="61"/>
      <c r="P2002" s="61"/>
      <c r="Q2002" s="61"/>
      <c r="R2002" s="61"/>
      <c r="S2002" s="61"/>
      <c r="T2002" s="61"/>
      <c r="U2002" s="61"/>
      <c r="V2002" s="61"/>
      <c r="W2002" s="61"/>
      <c r="X2002" s="61"/>
      <c r="Y2002" s="61"/>
      <c r="Z2002" s="61"/>
    </row>
    <row r="2003" ht="15.75" customHeight="1">
      <c r="A2003" s="61"/>
      <c r="B2003" s="61"/>
      <c r="C2003" s="61"/>
      <c r="D2003" s="61"/>
      <c r="E2003" s="61"/>
      <c r="F2003" s="61"/>
      <c r="G2003" s="61"/>
      <c r="H2003" s="63"/>
      <c r="I2003" s="61"/>
      <c r="J2003" s="61"/>
      <c r="K2003" s="61"/>
      <c r="L2003" s="61"/>
      <c r="M2003" s="61"/>
      <c r="N2003" s="61"/>
      <c r="O2003" s="61"/>
      <c r="P2003" s="61"/>
      <c r="Q2003" s="61"/>
      <c r="R2003" s="61"/>
      <c r="S2003" s="61"/>
      <c r="T2003" s="61"/>
      <c r="U2003" s="61"/>
      <c r="V2003" s="61"/>
      <c r="W2003" s="61"/>
      <c r="X2003" s="61"/>
      <c r="Y2003" s="61"/>
      <c r="Z2003" s="61"/>
    </row>
    <row r="2004" ht="15.75" customHeight="1">
      <c r="A2004" s="61"/>
      <c r="B2004" s="61"/>
      <c r="C2004" s="61"/>
      <c r="D2004" s="61"/>
      <c r="E2004" s="61"/>
      <c r="F2004" s="61"/>
      <c r="G2004" s="61"/>
      <c r="H2004" s="63"/>
      <c r="I2004" s="61"/>
      <c r="J2004" s="61"/>
      <c r="K2004" s="61"/>
      <c r="L2004" s="61"/>
      <c r="M2004" s="61"/>
      <c r="N2004" s="61"/>
      <c r="O2004" s="61"/>
      <c r="P2004" s="61"/>
      <c r="Q2004" s="61"/>
      <c r="R2004" s="61"/>
      <c r="S2004" s="61"/>
      <c r="T2004" s="61"/>
      <c r="U2004" s="61"/>
      <c r="V2004" s="61"/>
      <c r="W2004" s="61"/>
      <c r="X2004" s="61"/>
      <c r="Y2004" s="61"/>
      <c r="Z2004" s="61"/>
    </row>
    <row r="2005" ht="15.75" customHeight="1">
      <c r="A2005" s="61"/>
      <c r="B2005" s="61"/>
      <c r="C2005" s="61"/>
      <c r="D2005" s="61"/>
      <c r="E2005" s="61"/>
      <c r="F2005" s="61"/>
      <c r="G2005" s="61"/>
      <c r="H2005" s="63"/>
      <c r="I2005" s="61"/>
      <c r="J2005" s="61"/>
      <c r="K2005" s="61"/>
      <c r="L2005" s="61"/>
      <c r="M2005" s="61"/>
      <c r="N2005" s="61"/>
      <c r="O2005" s="61"/>
      <c r="P2005" s="61"/>
      <c r="Q2005" s="61"/>
      <c r="R2005" s="61"/>
      <c r="S2005" s="61"/>
      <c r="T2005" s="61"/>
      <c r="U2005" s="61"/>
      <c r="V2005" s="61"/>
      <c r="W2005" s="61"/>
      <c r="X2005" s="61"/>
      <c r="Y2005" s="61"/>
      <c r="Z2005" s="6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1.22" defaultRowHeight="15.0"/>
  <cols>
    <col customWidth="1" min="1" max="2" width="7.33"/>
    <col customWidth="1" min="3" max="29" width="8.0"/>
  </cols>
  <sheetData>
    <row r="1" ht="30.0" customHeight="1">
      <c r="A1" s="64" t="str">
        <f>IFERROR(__xludf.DUMMYFUNCTION("IMPORTRANGE(""https://docs.google.com/spreadsheets/d/12NSgqjEnvraV38F2rRx5ctOymjwDK6BVmXpNWcaJ7Ks/edit?pli=1&amp;gid=385343492#gid=385343492"",""'IN-案件機率總表'!A1:A"")"),"序號")</f>
        <v>序號</v>
      </c>
      <c r="B1" s="65" t="s">
        <v>739</v>
      </c>
      <c r="C1" s="66" t="str">
        <f>IFERROR(__xludf.DUMMYFUNCTION("IMPORTRANGE(""https://docs.google.com/spreadsheets/d/12NSgqjEnvraV38F2rRx5ctOymjwDK6BVmXpNWcaJ7Ks/edit?pli=1&amp;gid=385343492#gid=385343492"",""'IN-案件機率總表'!B1:AC"")"),"Case00001-02500")</f>
        <v>Case00001-02500</v>
      </c>
      <c r="D1" s="64" t="str">
        <f>IFERROR(__xludf.DUMMYFUNCTION("""COMPUTED_VALUE"""),"Case02501-05000")</f>
        <v>Case02501-05000</v>
      </c>
      <c r="E1" s="64" t="str">
        <f>IFERROR(__xludf.DUMMYFUNCTION("""COMPUTED_VALUE"""),"Case05001-07500")</f>
        <v>Case05001-07500</v>
      </c>
      <c r="F1" s="64" t="str">
        <f>IFERROR(__xludf.DUMMYFUNCTION("""COMPUTED_VALUE"""),"Case07501-10000")</f>
        <v>Case07501-10000</v>
      </c>
      <c r="G1" s="64" t="str">
        <f>IFERROR(__xludf.DUMMYFUNCTION("""COMPUTED_VALUE"""),"Case10001-12500")</f>
        <v>Case10001-12500</v>
      </c>
      <c r="H1" s="64" t="str">
        <f>IFERROR(__xludf.DUMMYFUNCTION("""COMPUTED_VALUE"""),"Case12501-15000")</f>
        <v>Case12501-15000</v>
      </c>
      <c r="I1" s="64" t="str">
        <f>IFERROR(__xludf.DUMMYFUNCTION("""COMPUTED_VALUE"""),"Case15001-17500")</f>
        <v>Case15001-17500</v>
      </c>
      <c r="J1" s="64" t="str">
        <f>IFERROR(__xludf.DUMMYFUNCTION("""COMPUTED_VALUE"""),"Case17501-20000")</f>
        <v>Case17501-20000</v>
      </c>
      <c r="K1" s="64" t="str">
        <f>IFERROR(__xludf.DUMMYFUNCTION("""COMPUTED_VALUE"""),"Case20001-22500")</f>
        <v>Case20001-22500</v>
      </c>
      <c r="L1" s="64" t="str">
        <f>IFERROR(__xludf.DUMMYFUNCTION("""COMPUTED_VALUE"""),"Case22501-25000")</f>
        <v>Case22501-25000</v>
      </c>
      <c r="M1" s="64" t="str">
        <f>IFERROR(__xludf.DUMMYFUNCTION("""COMPUTED_VALUE"""),"Case25001-27500")</f>
        <v>Case25001-27500</v>
      </c>
      <c r="N1" s="64" t="str">
        <f>IFERROR(__xludf.DUMMYFUNCTION("""COMPUTED_VALUE"""),"Case27501-30000")</f>
        <v>Case27501-30000</v>
      </c>
      <c r="O1" s="64" t="str">
        <f>IFERROR(__xludf.DUMMYFUNCTION("""COMPUTED_VALUE"""),"Case30001-32500")</f>
        <v>Case30001-32500</v>
      </c>
      <c r="P1" s="64" t="str">
        <f>IFERROR(__xludf.DUMMYFUNCTION("""COMPUTED_VALUE"""),"Case32501-35000")</f>
        <v>Case32501-35000</v>
      </c>
      <c r="Q1" s="64" t="str">
        <f>IFERROR(__xludf.DUMMYFUNCTION("""COMPUTED_VALUE"""),"Case35001-37500")</f>
        <v>Case35001-37500</v>
      </c>
      <c r="R1" s="64" t="str">
        <f>IFERROR(__xludf.DUMMYFUNCTION("""COMPUTED_VALUE"""),"Case37501-40000")</f>
        <v>Case37501-40000</v>
      </c>
      <c r="S1" s="64" t="str">
        <f>IFERROR(__xludf.DUMMYFUNCTION("""COMPUTED_VALUE"""),"Case40001-42500")</f>
        <v>Case40001-42500</v>
      </c>
      <c r="T1" s="64" t="str">
        <f>IFERROR(__xludf.DUMMYFUNCTION("""COMPUTED_VALUE"""),"Case42501-45000")</f>
        <v>Case42501-45000</v>
      </c>
      <c r="U1" s="64" t="str">
        <f>IFERROR(__xludf.DUMMYFUNCTION("""COMPUTED_VALUE"""),"Case45001-47500")</f>
        <v>Case45001-47500</v>
      </c>
      <c r="V1" s="64" t="str">
        <f>IFERROR(__xludf.DUMMYFUNCTION("""COMPUTED_VALUE"""),"Case47501-50000")</f>
        <v>Case47501-50000</v>
      </c>
      <c r="W1" s="64" t="str">
        <f>IFERROR(__xludf.DUMMYFUNCTION("""COMPUTED_VALUE"""),"Case50001-52500")</f>
        <v>Case50001-52500</v>
      </c>
      <c r="X1" s="64" t="str">
        <f>IFERROR(__xludf.DUMMYFUNCTION("""COMPUTED_VALUE"""),"Case52501-55000")</f>
        <v>Case52501-55000</v>
      </c>
      <c r="Y1" s="64" t="str">
        <f>IFERROR(__xludf.DUMMYFUNCTION("""COMPUTED_VALUE"""),"Case55001-57500")</f>
        <v>Case55001-57500</v>
      </c>
      <c r="Z1" s="64" t="str">
        <f>IFERROR(__xludf.DUMMYFUNCTION("""COMPUTED_VALUE"""),"Case57501-60000")</f>
        <v>Case57501-60000</v>
      </c>
      <c r="AA1" s="64" t="str">
        <f>IFERROR(__xludf.DUMMYFUNCTION("""COMPUTED_VALUE"""),"Case60001-62500")</f>
        <v>Case60001-62500</v>
      </c>
      <c r="AB1" s="64" t="str">
        <f>IFERROR(__xludf.DUMMYFUNCTION("""COMPUTED_VALUE"""),"Case62501-65000")</f>
        <v>Case62501-65000</v>
      </c>
      <c r="AC1" s="64" t="str">
        <f>IFERROR(__xludf.DUMMYFUNCTION("""COMPUTED_VALUE"""),"Case65001-67500")</f>
        <v>Case65001-67500</v>
      </c>
    </row>
    <row r="2" ht="30.0" customHeight="1">
      <c r="A2" s="64" t="str">
        <f>IFERROR(__xludf.DUMMYFUNCTION("""COMPUTED_VALUE"""),"Impact 01事件機率")</f>
        <v>Impact 01事件機率</v>
      </c>
      <c r="B2" s="67" t="str">
        <f>TEXT(ROUND(((AVERAGE(C2:AB2)*65000+AC2*536)/65536),6),"0.00%")</f>
        <v>35.75%</v>
      </c>
      <c r="C2" s="68">
        <f>IFERROR(__xludf.DUMMYFUNCTION("""COMPUTED_VALUE"""),0.30667705801409023)</f>
        <v>0.306677058</v>
      </c>
      <c r="D2" s="68">
        <f>IFERROR(__xludf.DUMMYFUNCTION("""COMPUTED_VALUE"""),0.30667705801409023)</f>
        <v>0.306677058</v>
      </c>
      <c r="E2" s="68">
        <f>IFERROR(__xludf.DUMMYFUNCTION("""COMPUTED_VALUE"""),0.30667705801409023)</f>
        <v>0.306677058</v>
      </c>
      <c r="F2" s="68">
        <f>IFERROR(__xludf.DUMMYFUNCTION("""COMPUTED_VALUE"""),0.33002325257784726)</f>
        <v>0.3300232526</v>
      </c>
      <c r="G2" s="68">
        <f>IFERROR(__xludf.DUMMYFUNCTION("""COMPUTED_VALUE"""),0.33895885359451067)</f>
        <v>0.3389588536</v>
      </c>
      <c r="H2" s="68">
        <f>IFERROR(__xludf.DUMMYFUNCTION("""COMPUTED_VALUE"""),0.33895885359451067)</f>
        <v>0.3389588536</v>
      </c>
      <c r="I2" s="68">
        <f>IFERROR(__xludf.DUMMYFUNCTION("""COMPUTED_VALUE"""),0.33895885359451067)</f>
        <v>0.3389588536</v>
      </c>
      <c r="J2" s="68">
        <f>IFERROR(__xludf.DUMMYFUNCTION("""COMPUTED_VALUE"""),0.33895885359451067)</f>
        <v>0.3389588536</v>
      </c>
      <c r="K2" s="68">
        <f>IFERROR(__xludf.DUMMYFUNCTION("""COMPUTED_VALUE"""),0.33895885359451067)</f>
        <v>0.3389588536</v>
      </c>
      <c r="L2" s="68">
        <f>IFERROR(__xludf.DUMMYFUNCTION("""COMPUTED_VALUE"""),0.33895885359451067)</f>
        <v>0.3389588536</v>
      </c>
      <c r="M2" s="68">
        <f>IFERROR(__xludf.DUMMYFUNCTION("""COMPUTED_VALUE"""),0.3746387329202827)</f>
        <v>0.3746387329</v>
      </c>
      <c r="N2" s="68">
        <f>IFERROR(__xludf.DUMMYFUNCTION("""COMPUTED_VALUE"""),0.3746387329202827)</f>
        <v>0.3746387329</v>
      </c>
      <c r="O2" s="68">
        <f>IFERROR(__xludf.DUMMYFUNCTION("""COMPUTED_VALUE"""),0.3746387329202827)</f>
        <v>0.3746387329</v>
      </c>
      <c r="P2" s="68">
        <f>IFERROR(__xludf.DUMMYFUNCTION("""COMPUTED_VALUE"""),0.34278373665822953)</f>
        <v>0.3427837367</v>
      </c>
      <c r="Q2" s="68">
        <f>IFERROR(__xludf.DUMMYFUNCTION("""COMPUTED_VALUE"""),0.33895885359451067)</f>
        <v>0.3389588536</v>
      </c>
      <c r="R2" s="68">
        <f>IFERROR(__xludf.DUMMYFUNCTION("""COMPUTED_VALUE"""),0.33895885359451067)</f>
        <v>0.3389588536</v>
      </c>
      <c r="S2" s="68">
        <f>IFERROR(__xludf.DUMMYFUNCTION("""COMPUTED_VALUE"""),0.36093765925919846)</f>
        <v>0.3609376593</v>
      </c>
      <c r="T2" s="68">
        <f>IFERROR(__xludf.DUMMYFUNCTION("""COMPUTED_VALUE"""),0.3746387329202827)</f>
        <v>0.3746387329</v>
      </c>
      <c r="U2" s="68">
        <f>IFERROR(__xludf.DUMMYFUNCTION("""COMPUTED_VALUE"""),0.3746387329202827)</f>
        <v>0.3746387329</v>
      </c>
      <c r="V2" s="68">
        <f>IFERROR(__xludf.DUMMYFUNCTION("""COMPUTED_VALUE"""),0.3746387329202827)</f>
        <v>0.3746387329</v>
      </c>
      <c r="W2" s="68">
        <f>IFERROR(__xludf.DUMMYFUNCTION("""COMPUTED_VALUE"""),0.3746387329202827)</f>
        <v>0.3746387329</v>
      </c>
      <c r="X2" s="68">
        <f>IFERROR(__xludf.DUMMYFUNCTION("""COMPUTED_VALUE"""),0.3746387329202827)</f>
        <v>0.3746387329</v>
      </c>
      <c r="Y2" s="68">
        <f>IFERROR(__xludf.DUMMYFUNCTION("""COMPUTED_VALUE"""),0.3770995178607283)</f>
        <v>0.3770995179</v>
      </c>
      <c r="Z2" s="68">
        <f>IFERROR(__xludf.DUMMYFUNCTION("""COMPUTED_VALUE"""),0.41407438901715077)</f>
        <v>0.414074389</v>
      </c>
      <c r="AA2" s="68">
        <f>IFERROR(__xludf.DUMMYFUNCTION("""COMPUTED_VALUE"""),0.41407438901715077)</f>
        <v>0.414074389</v>
      </c>
      <c r="AB2" s="68">
        <f>IFERROR(__xludf.DUMMYFUNCTION("""COMPUTED_VALUE"""),0.41407438901715077)</f>
        <v>0.414074389</v>
      </c>
      <c r="AC2" s="68">
        <f>IFERROR(__xludf.DUMMYFUNCTION("""COMPUTED_VALUE"""),0.4140743890171434)</f>
        <v>0.414074389</v>
      </c>
    </row>
    <row r="3" ht="30.0" customHeight="1">
      <c r="A3" s="64" t="str">
        <f>IFERROR(__xludf.DUMMYFUNCTION("""COMPUTED_VALUE"""),"Impact 02事件機率")</f>
        <v>Impact 02事件機率</v>
      </c>
      <c r="B3" s="67" t="str">
        <f t="shared" ref="B3:B93" si="1">TEXT(ROUND(((AVERAGE(C3:AB3)*65000+AC3*536)/65536),6),"0.000%")</f>
        <v>1.570%</v>
      </c>
      <c r="C3" s="69">
        <f>IFERROR(__xludf.DUMMYFUNCTION("""COMPUTED_VALUE"""),0.015709948135120045)</f>
        <v>0.01570994814</v>
      </c>
      <c r="D3" s="69">
        <f>IFERROR(__xludf.DUMMYFUNCTION("""COMPUTED_VALUE"""),0.01703934131670404)</f>
        <v>0.01703934132</v>
      </c>
      <c r="E3" s="69">
        <f>IFERROR(__xludf.DUMMYFUNCTION("""COMPUTED_VALUE"""),0.01801219802514585)</f>
        <v>0.01801219803</v>
      </c>
      <c r="F3" s="69">
        <f>IFERROR(__xludf.DUMMYFUNCTION("""COMPUTED_VALUE"""),0.01279589098160187)</f>
        <v>0.01279589098</v>
      </c>
      <c r="G3" s="69">
        <f>IFERROR(__xludf.DUMMYFUNCTION("""COMPUTED_VALUE"""),0.01148299811859952)</f>
        <v>0.01148299812</v>
      </c>
      <c r="H3" s="69">
        <f>IFERROR(__xludf.DUMMYFUNCTION("""COMPUTED_VALUE"""),0.011912957035588057)</f>
        <v>0.01191295704</v>
      </c>
      <c r="I3" s="69">
        <f>IFERROR(__xludf.DUMMYFUNCTION("""COMPUTED_VALUE"""),0.014697338110297482)</f>
        <v>0.01469733811</v>
      </c>
      <c r="J3" s="69">
        <f>IFERROR(__xludf.DUMMYFUNCTION("""COMPUTED_VALUE"""),0.01816429656658365)</f>
        <v>0.01816429657</v>
      </c>
      <c r="K3" s="69">
        <f>IFERROR(__xludf.DUMMYFUNCTION("""COMPUTED_VALUE"""),0.018832956192148628)</f>
        <v>0.01883295619</v>
      </c>
      <c r="L3" s="69">
        <f>IFERROR(__xludf.DUMMYFUNCTION("""COMPUTED_VALUE"""),0.018832956192148628)</f>
        <v>0.01883295619</v>
      </c>
      <c r="M3" s="69">
        <f>IFERROR(__xludf.DUMMYFUNCTION("""COMPUTED_VALUE"""),0.01201640370108919)</f>
        <v>0.0120164037</v>
      </c>
      <c r="N3" s="69">
        <f>IFERROR(__xludf.DUMMYFUNCTION("""COMPUTED_VALUE"""),0.012808844195305414)</f>
        <v>0.0128088442</v>
      </c>
      <c r="O3" s="69">
        <f>IFERROR(__xludf.DUMMYFUNCTION("""COMPUTED_VALUE"""),0.013768833360258827)</f>
        <v>0.01376883336</v>
      </c>
      <c r="P3" s="69">
        <f>IFERROR(__xludf.DUMMYFUNCTION("""COMPUTED_VALUE"""),0.01686237977462147)</f>
        <v>0.01686237977</v>
      </c>
      <c r="Q3" s="69">
        <f>IFERROR(__xludf.DUMMYFUNCTION("""COMPUTED_VALUE"""),0.014697338110297482)</f>
        <v>0.01469733811</v>
      </c>
      <c r="R3" s="69">
        <f>IFERROR(__xludf.DUMMYFUNCTION("""COMPUTED_VALUE"""),0.018832956192148628)</f>
        <v>0.01883295619</v>
      </c>
      <c r="S3" s="69">
        <f>IFERROR(__xludf.DUMMYFUNCTION("""COMPUTED_VALUE"""),0.0151318989227526)</f>
        <v>0.01513189892</v>
      </c>
      <c r="T3" s="69">
        <f>IFERROR(__xludf.DUMMYFUNCTION("""COMPUTED_VALUE"""),0.012560962562878173)</f>
        <v>0.01256096256</v>
      </c>
      <c r="U3" s="69">
        <f>IFERROR(__xludf.DUMMYFUNCTION("""COMPUTED_VALUE"""),0.013022414818519769)</f>
        <v>0.01302241482</v>
      </c>
      <c r="V3" s="69">
        <f>IFERROR(__xludf.DUMMYFUNCTION("""COMPUTED_VALUE"""),0.015743179220872497)</f>
        <v>0.01574317922</v>
      </c>
      <c r="W3" s="69">
        <f>IFERROR(__xludf.DUMMYFUNCTION("""COMPUTED_VALUE"""),0.019863812741613383)</f>
        <v>0.01986381274</v>
      </c>
      <c r="X3" s="69">
        <f>IFERROR(__xludf.DUMMYFUNCTION("""COMPUTED_VALUE"""),0.020815372633427066)</f>
        <v>0.02081537263</v>
      </c>
      <c r="Y3" s="69">
        <f>IFERROR(__xludf.DUMMYFUNCTION("""COMPUTED_VALUE"""),0.02211070770744558)</f>
        <v>0.02211070771</v>
      </c>
      <c r="Z3" s="69">
        <f>IFERROR(__xludf.DUMMYFUNCTION("""COMPUTED_VALUE"""),0.013136750606705232)</f>
        <v>0.01313675061</v>
      </c>
      <c r="AA3" s="69">
        <f>IFERROR(__xludf.DUMMYFUNCTION("""COMPUTED_VALUE"""),0.014157143584284925)</f>
        <v>0.01415714358</v>
      </c>
      <c r="AB3" s="69">
        <f>IFERROR(__xludf.DUMMYFUNCTION("""COMPUTED_VALUE"""),0.015058432051630525)</f>
        <v>0.01505843205</v>
      </c>
      <c r="AC3" s="69">
        <f>IFERROR(__xludf.DUMMYFUNCTION("""COMPUTED_VALUE"""),0.015647369224736328)</f>
        <v>0.01564736922</v>
      </c>
    </row>
    <row r="4" ht="30.0" customHeight="1">
      <c r="A4" s="64" t="str">
        <f>IFERROR(__xludf.DUMMYFUNCTION("""COMPUTED_VALUE"""),"Impact 03事件機率")</f>
        <v>Impact 03事件機率</v>
      </c>
      <c r="B4" s="67" t="str">
        <f t="shared" si="1"/>
        <v>0.647%</v>
      </c>
      <c r="C4" s="70">
        <f>IFERROR(__xludf.DUMMYFUNCTION("""COMPUTED_VALUE"""),0.00695660713601127)</f>
        <v>0.006956607136</v>
      </c>
      <c r="D4" s="70">
        <f>IFERROR(__xludf.DUMMYFUNCTION("""COMPUTED_VALUE"""),0.00664930003908891)</f>
        <v>0.006649300039</v>
      </c>
      <c r="E4" s="70">
        <f>IFERROR(__xludf.DUMMYFUNCTION("""COMPUTED_VALUE"""),0.007323532906141467)</f>
        <v>0.007323532906</v>
      </c>
      <c r="F4" s="70">
        <f>IFERROR(__xludf.DUMMYFUNCTION("""COMPUTED_VALUE"""),0.005468907131292059)</f>
        <v>0.005468907131</v>
      </c>
      <c r="G4" s="70">
        <f>IFERROR(__xludf.DUMMYFUNCTION("""COMPUTED_VALUE"""),0.004293861873648049)</f>
        <v>0.004293861874</v>
      </c>
      <c r="H4" s="70">
        <f>IFERROR(__xludf.DUMMYFUNCTION("""COMPUTED_VALUE"""),0.005157039103401509)</f>
        <v>0.005157039103</v>
      </c>
      <c r="I4" s="70">
        <f>IFERROR(__xludf.DUMMYFUNCTION("""COMPUTED_VALUE"""),0.005987343544657424)</f>
        <v>0.005987343545</v>
      </c>
      <c r="J4" s="70">
        <f>IFERROR(__xludf.DUMMYFUNCTION("""COMPUTED_VALUE"""),0.007244229435188652)</f>
        <v>0.007244229435</v>
      </c>
      <c r="K4" s="70">
        <f>IFERROR(__xludf.DUMMYFUNCTION("""COMPUTED_VALUE"""),0.008472811023598937)</f>
        <v>0.008472811024</v>
      </c>
      <c r="L4" s="70">
        <f>IFERROR(__xludf.DUMMYFUNCTION("""COMPUTED_VALUE"""),0.008472811023598937)</f>
        <v>0.008472811024</v>
      </c>
      <c r="M4" s="70">
        <f>IFERROR(__xludf.DUMMYFUNCTION("""COMPUTED_VALUE"""),0.0050846450217441885)</f>
        <v>0.005084645022</v>
      </c>
      <c r="N4" s="70">
        <f>IFERROR(__xludf.DUMMYFUNCTION("""COMPUTED_VALUE"""),0.005308371951532234)</f>
        <v>0.005308371952</v>
      </c>
      <c r="O4" s="70">
        <f>IFERROR(__xludf.DUMMYFUNCTION("""COMPUTED_VALUE"""),0.005357208043877364)</f>
        <v>0.005357208044</v>
      </c>
      <c r="P4" s="70">
        <f>IFERROR(__xludf.DUMMYFUNCTION("""COMPUTED_VALUE"""),0.007574038606928279)</f>
        <v>0.007574038607</v>
      </c>
      <c r="Q4" s="70">
        <f>IFERROR(__xludf.DUMMYFUNCTION("""COMPUTED_VALUE"""),0.005987343544657424)</f>
        <v>0.005987343545</v>
      </c>
      <c r="R4" s="70">
        <f>IFERROR(__xludf.DUMMYFUNCTION("""COMPUTED_VALUE"""),0.007129036305311424)</f>
        <v>0.007129036305</v>
      </c>
      <c r="S4" s="70">
        <f>IFERROR(__xludf.DUMMYFUNCTION("""COMPUTED_VALUE"""),0.006262456260439315)</f>
        <v>0.00626245626</v>
      </c>
      <c r="T4" s="70">
        <f>IFERROR(__xludf.DUMMYFUNCTION("""COMPUTED_VALUE"""),0.004766983242678858)</f>
        <v>0.004766983243</v>
      </c>
      <c r="U4" s="70">
        <f>IFERROR(__xludf.DUMMYFUNCTION("""COMPUTED_VALUE"""),0.005779899836117994)</f>
        <v>0.005779899836</v>
      </c>
      <c r="V4" s="70">
        <f>IFERROR(__xludf.DUMMYFUNCTION("""COMPUTED_VALUE"""),0.00619634310469383)</f>
        <v>0.006196343105</v>
      </c>
      <c r="W4" s="70">
        <f>IFERROR(__xludf.DUMMYFUNCTION("""COMPUTED_VALUE"""),0.00810900191669831)</f>
        <v>0.008109001917</v>
      </c>
      <c r="X4" s="70">
        <f>IFERROR(__xludf.DUMMYFUNCTION("""COMPUTED_VALUE"""),0.00909570023474404)</f>
        <v>0.009095700235</v>
      </c>
      <c r="Y4" s="70">
        <f>IFERROR(__xludf.DUMMYFUNCTION("""COMPUTED_VALUE"""),0.00824080513209896)</f>
        <v>0.008240805132</v>
      </c>
      <c r="Z4" s="70">
        <f>IFERROR(__xludf.DUMMYFUNCTION("""COMPUTED_VALUE"""),0.005721021233459183)</f>
        <v>0.005721021233</v>
      </c>
      <c r="AA4" s="70">
        <f>IFERROR(__xludf.DUMMYFUNCTION("""COMPUTED_VALUE"""),0.005630479122557587)</f>
        <v>0.005630479123</v>
      </c>
      <c r="AB4" s="70">
        <f>IFERROR(__xludf.DUMMYFUNCTION("""COMPUTED_VALUE"""),0.006044690705556748)</f>
        <v>0.006044690706</v>
      </c>
      <c r="AC4" s="70">
        <f>IFERROR(__xludf.DUMMYFUNCTION("""COMPUTED_VALUE"""),0.005816037090777273)</f>
        <v>0.005816037091</v>
      </c>
    </row>
    <row r="5" ht="30.0" customHeight="1">
      <c r="A5" s="64" t="str">
        <f>IFERROR(__xludf.DUMMYFUNCTION("""COMPUTED_VALUE"""),"Impact 04事件機率")</f>
        <v>Impact 04事件機率</v>
      </c>
      <c r="B5" s="67" t="str">
        <f t="shared" si="1"/>
        <v>0.178%</v>
      </c>
      <c r="C5" s="69">
        <f>IFERROR(__xludf.DUMMYFUNCTION("""COMPUTED_VALUE"""),0.001954213457216676)</f>
        <v>0.001954213457</v>
      </c>
      <c r="D5" s="69">
        <f>IFERROR(__xludf.DUMMYFUNCTION("""COMPUTED_VALUE"""),0.0019347996028821087)</f>
        <v>0.001934799603</v>
      </c>
      <c r="E5" s="69">
        <f>IFERROR(__xludf.DUMMYFUNCTION("""COMPUTED_VALUE"""),0.001956346327086474)</f>
        <v>0.001956346327</v>
      </c>
      <c r="F5" s="69">
        <f>IFERROR(__xludf.DUMMYFUNCTION("""COMPUTED_VALUE"""),0.0014380823122251158)</f>
        <v>0.001438082312</v>
      </c>
      <c r="G5" s="69">
        <f>IFERROR(__xludf.DUMMYFUNCTION("""COMPUTED_VALUE"""),0.001179372179223146)</f>
        <v>0.001179372179</v>
      </c>
      <c r="H5" s="69">
        <f>IFERROR(__xludf.DUMMYFUNCTION("""COMPUTED_VALUE"""),0.0014549643022541677)</f>
        <v>0.001454964302</v>
      </c>
      <c r="I5" s="69">
        <f>IFERROR(__xludf.DUMMYFUNCTION("""COMPUTED_VALUE"""),0.0017470431571820753)</f>
        <v>0.001747043157</v>
      </c>
      <c r="J5" s="69">
        <f>IFERROR(__xludf.DUMMYFUNCTION("""COMPUTED_VALUE"""),0.0018931061390431761)</f>
        <v>0.001893106139</v>
      </c>
      <c r="K5" s="69">
        <f>IFERROR(__xludf.DUMMYFUNCTION("""COMPUTED_VALUE"""),0.002283839467291028)</f>
        <v>0.002283839467</v>
      </c>
      <c r="L5" s="69">
        <f>IFERROR(__xludf.DUMMYFUNCTION("""COMPUTED_VALUE"""),0.002283839467291028)</f>
        <v>0.002283839467</v>
      </c>
      <c r="M5" s="69">
        <f>IFERROR(__xludf.DUMMYFUNCTION("""COMPUTED_VALUE"""),0.0014443171989409747)</f>
        <v>0.001444317199</v>
      </c>
      <c r="N5" s="69">
        <f>IFERROR(__xludf.DUMMYFUNCTION("""COMPUTED_VALUE"""),0.0014636856435031604)</f>
        <v>0.001463685644</v>
      </c>
      <c r="O5" s="69">
        <f>IFERROR(__xludf.DUMMYFUNCTION("""COMPUTED_VALUE"""),0.0014142091671782075)</f>
        <v>0.001414209167</v>
      </c>
      <c r="P5" s="69">
        <f>IFERROR(__xludf.DUMMYFUNCTION("""COMPUTED_VALUE"""),0.0020804750103823244)</f>
        <v>0.00208047501</v>
      </c>
      <c r="Q5" s="69">
        <f>IFERROR(__xludf.DUMMYFUNCTION("""COMPUTED_VALUE"""),0.0017470431571820753)</f>
        <v>0.001747043157</v>
      </c>
      <c r="R5" s="69">
        <f>IFERROR(__xludf.DUMMYFUNCTION("""COMPUTED_VALUE"""),0.002039707944677756)</f>
        <v>0.002039707945</v>
      </c>
      <c r="S5" s="69">
        <f>IFERROR(__xludf.DUMMYFUNCTION("""COMPUTED_VALUE"""),0.0016223325321773647)</f>
        <v>0.001622332532</v>
      </c>
      <c r="T5" s="69">
        <f>IFERROR(__xludf.DUMMYFUNCTION("""COMPUTED_VALUE"""),0.0012712825686240082)</f>
        <v>0.001271282569</v>
      </c>
      <c r="U5" s="69">
        <f>IFERROR(__xludf.DUMMYFUNCTION("""COMPUTED_VALUE"""),0.0016154498581363945)</f>
        <v>0.001615449858</v>
      </c>
      <c r="V5" s="69">
        <f>IFERROR(__xludf.DUMMYFUNCTION("""COMPUTED_VALUE"""),0.0018228213126290098)</f>
        <v>0.001822821313</v>
      </c>
      <c r="W5" s="69">
        <f>IFERROR(__xludf.DUMMYFUNCTION("""COMPUTED_VALUE"""),0.002190298653224505)</f>
        <v>0.002190298653</v>
      </c>
      <c r="X5" s="69">
        <f>IFERROR(__xludf.DUMMYFUNCTION("""COMPUTED_VALUE"""),0.002444111900556897)</f>
        <v>0.002444111901</v>
      </c>
      <c r="Y5" s="69">
        <f>IFERROR(__xludf.DUMMYFUNCTION("""COMPUTED_VALUE"""),0.0022347367862494572)</f>
        <v>0.002234736786</v>
      </c>
      <c r="Z5" s="69">
        <f>IFERROR(__xludf.DUMMYFUNCTION("""COMPUTED_VALUE"""),0.0016112269282849787)</f>
        <v>0.001611226928</v>
      </c>
      <c r="AA5" s="69">
        <f>IFERROR(__xludf.DUMMYFUNCTION("""COMPUTED_VALUE"""),0.0016088117259620517)</f>
        <v>0.001608811726</v>
      </c>
      <c r="AB5" s="69">
        <f>IFERROR(__xludf.DUMMYFUNCTION("""COMPUTED_VALUE"""),0.0016004017969033803)</f>
        <v>0.001600401797</v>
      </c>
      <c r="AC5" s="69">
        <f>IFERROR(__xludf.DUMMYFUNCTION("""COMPUTED_VALUE"""),0.001259216133155147)</f>
        <v>0.001259216133</v>
      </c>
    </row>
    <row r="6" ht="30.0" customHeight="1">
      <c r="A6" s="64" t="str">
        <f>IFERROR(__xludf.DUMMYFUNCTION("""COMPUTED_VALUE"""),"Impact 05事件機率")</f>
        <v>Impact 05事件機率</v>
      </c>
      <c r="B6" s="67" t="str">
        <f t="shared" si="1"/>
        <v>0.011%</v>
      </c>
      <c r="C6" s="70">
        <f>IFERROR(__xludf.DUMMYFUNCTION("""COMPUTED_VALUE"""),1.2423142968476892E-4)</f>
        <v>0.0001242314297</v>
      </c>
      <c r="D6" s="70">
        <f>IFERROR(__xludf.DUMMYFUNCTION("""COMPUTED_VALUE"""),1.1588044879184048E-4)</f>
        <v>0.0001158804488</v>
      </c>
      <c r="E6" s="70">
        <f>IFERROR(__xludf.DUMMYFUNCTION("""COMPUTED_VALUE"""),1.2144837949464031E-4)</f>
        <v>0.0001214483795</v>
      </c>
      <c r="F6" s="70">
        <f>IFERROR(__xludf.DUMMYFUNCTION("""COMPUTED_VALUE"""),8.751064635827461E-5)</f>
        <v>0.00008751064636</v>
      </c>
      <c r="G6" s="70">
        <f>IFERROR(__xludf.DUMMYFUNCTION("""COMPUTED_VALUE"""),7.256206188531473E-5)</f>
        <v>0.00007256206189</v>
      </c>
      <c r="H6" s="70">
        <f>IFERROR(__xludf.DUMMYFUNCTION("""COMPUTED_VALUE"""),9.060806903088032E-5)</f>
        <v>0.00009060806903</v>
      </c>
      <c r="I6" s="70">
        <f>IFERROR(__xludf.DUMMYFUNCTION("""COMPUTED_VALUE"""),1.0545579944369661E-4)</f>
        <v>0.0001054557994</v>
      </c>
      <c r="J6" s="70">
        <f>IFERROR(__xludf.DUMMYFUNCTION("""COMPUTED_VALUE"""),1.199634485339732E-4)</f>
        <v>0.0001199634485</v>
      </c>
      <c r="K6" s="70">
        <f>IFERROR(__xludf.DUMMYFUNCTION("""COMPUTED_VALUE"""),1.3667254676578484E-4)</f>
        <v>0.0001366725468</v>
      </c>
      <c r="L6" s="70">
        <f>IFERROR(__xludf.DUMMYFUNCTION("""COMPUTED_VALUE"""),1.3667254676578484E-4)</f>
        <v>0.0001366725468</v>
      </c>
      <c r="M6" s="70">
        <f>IFERROR(__xludf.DUMMYFUNCTION("""COMPUTED_VALUE"""),8.62240005432262E-5)</f>
        <v>0.00008622400054</v>
      </c>
      <c r="N6" s="70">
        <f>IFERROR(__xludf.DUMMYFUNCTION("""COMPUTED_VALUE"""),9.097982222366902E-5)</f>
        <v>0.00009097982222</v>
      </c>
      <c r="O6" s="70">
        <f>IFERROR(__xludf.DUMMYFUNCTION("""COMPUTED_VALUE"""),8.665869375180256E-5)</f>
        <v>0.00008665869375</v>
      </c>
      <c r="P6" s="70">
        <f>IFERROR(__xludf.DUMMYFUNCTION("""COMPUTED_VALUE"""),1.276981243830398E-4)</f>
        <v>0.0001276981244</v>
      </c>
      <c r="Q6" s="70">
        <f>IFERROR(__xludf.DUMMYFUNCTION("""COMPUTED_VALUE"""),1.0545579944369661E-4)</f>
        <v>0.0001054557994</v>
      </c>
      <c r="R6" s="70">
        <f>IFERROR(__xludf.DUMMYFUNCTION("""COMPUTED_VALUE"""),1.293481393293267E-4)</f>
        <v>0.0001293481393</v>
      </c>
      <c r="S6" s="70">
        <f>IFERROR(__xludf.DUMMYFUNCTION("""COMPUTED_VALUE"""),1.0310279016527595E-4)</f>
        <v>0.0001031027902</v>
      </c>
      <c r="T6" s="70">
        <f>IFERROR(__xludf.DUMMYFUNCTION("""COMPUTED_VALUE"""),7.483145253961342E-5)</f>
        <v>0.00007483145254</v>
      </c>
      <c r="U6" s="70">
        <f>IFERROR(__xludf.DUMMYFUNCTION("""COMPUTED_VALUE"""),1.0197602465656137E-4)</f>
        <v>0.0001019760247</v>
      </c>
      <c r="V6" s="70">
        <f>IFERROR(__xludf.DUMMYFUNCTION("""COMPUTED_VALUE"""),1.1106810412401E-4)</f>
        <v>0.0001110681041</v>
      </c>
      <c r="W6" s="70">
        <f>IFERROR(__xludf.DUMMYFUNCTION("""COMPUTED_VALUE"""),1.3484286262397795E-4)</f>
        <v>0.0001348428626</v>
      </c>
      <c r="X6" s="70">
        <f>IFERROR(__xludf.DUMMYFUNCTION("""COMPUTED_VALUE"""),1.5138248864236283E-4)</f>
        <v>0.0001513824886</v>
      </c>
      <c r="Y6" s="70">
        <f>IFERROR(__xludf.DUMMYFUNCTION("""COMPUTED_VALUE"""),1.352865293229911E-4)</f>
        <v>0.0001352865293</v>
      </c>
      <c r="Z6" s="70">
        <f>IFERROR(__xludf.DUMMYFUNCTION("""COMPUTED_VALUE"""),1.0141436233705163E-4)</f>
        <v>0.0001014143623</v>
      </c>
      <c r="AA6" s="70">
        <f>IFERROR(__xludf.DUMMYFUNCTION("""COMPUTED_VALUE"""),1.0305763217063928E-4)</f>
        <v>0.0001030576322</v>
      </c>
      <c r="AB6" s="70">
        <f>IFERROR(__xludf.DUMMYFUNCTION("""COMPUTED_VALUE"""),9.495781999892922E-5)</f>
        <v>0.00009495782</v>
      </c>
      <c r="AC6" s="70">
        <f>IFERROR(__xludf.DUMMYFUNCTION("""COMPUTED_VALUE"""),9.150787958816203E-5)</f>
        <v>0.00009150787959</v>
      </c>
    </row>
    <row r="7" ht="30.0" customHeight="1">
      <c r="A7" s="64" t="str">
        <f>IFERROR(__xludf.DUMMYFUNCTION("""COMPUTED_VALUE"""),"Impact 06事件機率")</f>
        <v>Impact 06事件機率</v>
      </c>
      <c r="B7" s="67" t="str">
        <f t="shared" si="1"/>
        <v>0.007%</v>
      </c>
      <c r="C7" s="69">
        <f>IFERROR(__xludf.DUMMYFUNCTION("""COMPUTED_VALUE"""),8.453163378490637E-5)</f>
        <v>0.00008453163378</v>
      </c>
      <c r="D7" s="69">
        <f>IFERROR(__xludf.DUMMYFUNCTION("""COMPUTED_VALUE"""),7.830460959914787E-5)</f>
        <v>0.0000783046096</v>
      </c>
      <c r="E7" s="69">
        <f>IFERROR(__xludf.DUMMYFUNCTION("""COMPUTED_VALUE"""),8.250239539544341E-5)</f>
        <v>0.0000825023954</v>
      </c>
      <c r="F7" s="69">
        <f>IFERROR(__xludf.DUMMYFUNCTION("""COMPUTED_VALUE"""),5.916784829392694E-5)</f>
        <v>0.00005916784829</v>
      </c>
      <c r="G7" s="69">
        <f>IFERROR(__xludf.DUMMYFUNCTION("""COMPUTED_VALUE"""),4.9346055497395855E-5)</f>
        <v>0.0000493460555</v>
      </c>
      <c r="H7" s="69">
        <f>IFERROR(__xludf.DUMMYFUNCTION("""COMPUTED_VALUE"""),6.131153488074721E-5)</f>
        <v>0.00006131153488</v>
      </c>
      <c r="I7" s="69">
        <f>IFERROR(__xludf.DUMMYFUNCTION("""COMPUTED_VALUE"""),7.158953725750233E-5)</f>
        <v>0.00007158953726</v>
      </c>
      <c r="J7" s="69">
        <f>IFERROR(__xludf.DUMMYFUNCTION("""COMPUTED_VALUE"""),8.126677677107241E-5)</f>
        <v>0.00008126677677</v>
      </c>
      <c r="K7" s="69">
        <f>IFERROR(__xludf.DUMMYFUNCTION("""COMPUTED_VALUE"""),9.269790700576751E-5)</f>
        <v>0.00009269790701</v>
      </c>
      <c r="L7" s="69">
        <f>IFERROR(__xludf.DUMMYFUNCTION("""COMPUTED_VALUE"""),9.269790700576751E-5)</f>
        <v>0.00009269790701</v>
      </c>
      <c r="M7" s="69">
        <f>IFERROR(__xludf.DUMMYFUNCTION("""COMPUTED_VALUE"""),5.832847643784328E-5)</f>
        <v>0.00005832847644</v>
      </c>
      <c r="N7" s="69">
        <f>IFERROR(__xludf.DUMMYFUNCTION("""COMPUTED_VALUE"""),6.180038541701908E-5)</f>
        <v>0.00006180038542</v>
      </c>
      <c r="O7" s="69">
        <f>IFERROR(__xludf.DUMMYFUNCTION("""COMPUTED_VALUE"""),5.8615942506408294E-5)</f>
        <v>0.00005861594251</v>
      </c>
      <c r="P7" s="69">
        <f>IFERROR(__xludf.DUMMYFUNCTION("""COMPUTED_VALUE"""),8.683758336896606E-5)</f>
        <v>0.00008683758337</v>
      </c>
      <c r="Q7" s="69">
        <f>IFERROR(__xludf.DUMMYFUNCTION("""COMPUTED_VALUE"""),7.158953725750233E-5)</f>
        <v>0.00007158953726</v>
      </c>
      <c r="R7" s="69">
        <f>IFERROR(__xludf.DUMMYFUNCTION("""COMPUTED_VALUE"""),8.743513592048103E-5)</f>
        <v>0.00008743513592</v>
      </c>
      <c r="S7" s="69">
        <f>IFERROR(__xludf.DUMMYFUNCTION("""COMPUTED_VALUE"""),6.967004118442389E-5)</f>
        <v>0.00006967004118</v>
      </c>
      <c r="T7" s="69">
        <f>IFERROR(__xludf.DUMMYFUNCTION("""COMPUTED_VALUE"""),5.0842387104701056E-5)</f>
        <v>0.0000508423871</v>
      </c>
      <c r="U7" s="69">
        <f>IFERROR(__xludf.DUMMYFUNCTION("""COMPUTED_VALUE"""),6.907697086969596E-5)</f>
        <v>0.00006907697087</v>
      </c>
      <c r="V7" s="69">
        <f>IFERROR(__xludf.DUMMYFUNCTION("""COMPUTED_VALUE"""),7.548310111214434E-5)</f>
        <v>0.00007548310111</v>
      </c>
      <c r="W7" s="69">
        <f>IFERROR(__xludf.DUMMYFUNCTION("""COMPUTED_VALUE"""),9.128071423358755E-5)</f>
        <v>0.00009128071423</v>
      </c>
      <c r="X7" s="69">
        <f>IFERROR(__xludf.DUMMYFUNCTION("""COMPUTED_VALUE"""),1.0271343250568483E-4)</f>
        <v>0.0001027134325</v>
      </c>
      <c r="Y7" s="69">
        <f>IFERROR(__xludf.DUMMYFUNCTION("""COMPUTED_VALUE"""),9.169393900903264E-5)</f>
        <v>0.00009169393901</v>
      </c>
      <c r="Z7" s="69">
        <f>IFERROR(__xludf.DUMMYFUNCTION("""COMPUTED_VALUE"""),6.871126494145826E-5)</f>
        <v>0.00006871126494</v>
      </c>
      <c r="AA7" s="69">
        <f>IFERROR(__xludf.DUMMYFUNCTION("""COMPUTED_VALUE"""),6.966522947412955E-5)</f>
        <v>0.00006966522947</v>
      </c>
      <c r="AB7" s="69">
        <f>IFERROR(__xludf.DUMMYFUNCTION("""COMPUTED_VALUE"""),6.453381876945816E-5)</f>
        <v>0.00006453381877</v>
      </c>
      <c r="AC7" s="69">
        <f>IFERROR(__xludf.DUMMYFUNCTION("""COMPUTED_VALUE"""),6.191400526699407E-5)</f>
        <v>0.00006191400527</v>
      </c>
    </row>
    <row r="8" ht="30.0" customHeight="1">
      <c r="A8" s="64" t="str">
        <f>IFERROR(__xludf.DUMMYFUNCTION("""COMPUTED_VALUE"""),"Impact 07事件機率")</f>
        <v>Impact 07事件機率</v>
      </c>
      <c r="B8" s="67" t="str">
        <f t="shared" si="1"/>
        <v>0.004%</v>
      </c>
      <c r="C8" s="70">
        <f>IFERROR(__xludf.DUMMYFUNCTION("""COMPUTED_VALUE"""),5.022526617833217E-5)</f>
        <v>0.00005022526618</v>
      </c>
      <c r="D8" s="70">
        <f>IFERROR(__xludf.DUMMYFUNCTION("""COMPUTED_VALUE"""),4.670990679941454E-5)</f>
        <v>0.0000467099068</v>
      </c>
      <c r="E8" s="70">
        <f>IFERROR(__xludf.DUMMYFUNCTION("""COMPUTED_VALUE"""),4.8694336576652974E-5)</f>
        <v>0.00004869433658</v>
      </c>
      <c r="F8" s="70">
        <f>IFERROR(__xludf.DUMMYFUNCTION("""COMPUTED_VALUE"""),3.4957570713749355E-5)</f>
        <v>0.00003495757071</v>
      </c>
      <c r="G8" s="70">
        <f>IFERROR(__xludf.DUMMYFUNCTION("""COMPUTED_VALUE"""),2.9302441511978865E-5)</f>
        <v>0.00002930244151</v>
      </c>
      <c r="H8" s="70">
        <f>IFERROR(__xludf.DUMMYFUNCTION("""COMPUTED_VALUE"""),3.645781131092185E-5)</f>
        <v>0.00003645781131</v>
      </c>
      <c r="I8" s="70">
        <f>IFERROR(__xludf.DUMMYFUNCTION("""COMPUTED_VALUE"""),4.251576395290651E-5)</f>
        <v>0.00004251576395</v>
      </c>
      <c r="J8" s="70">
        <f>IFERROR(__xludf.DUMMYFUNCTION("""COMPUTED_VALUE"""),4.8002796584989396E-5)</f>
        <v>0.00004800279658</v>
      </c>
      <c r="K8" s="70">
        <f>IFERROR(__xludf.DUMMYFUNCTION("""COMPUTED_VALUE"""),5.4977160522372534E-5)</f>
        <v>0.00005497716052</v>
      </c>
      <c r="L8" s="70">
        <f>IFERROR(__xludf.DUMMYFUNCTION("""COMPUTED_VALUE"""),5.4977160522372534E-5)</f>
        <v>0.00005497716052</v>
      </c>
      <c r="M8" s="70">
        <f>IFERROR(__xludf.DUMMYFUNCTION("""COMPUTED_VALUE"""),3.4573266438062154E-5)</f>
        <v>0.00003457326644</v>
      </c>
      <c r="N8" s="70">
        <f>IFERROR(__xludf.DUMMYFUNCTION("""COMPUTED_VALUE"""),3.653251257049573E-5)</f>
        <v>0.00003653251257</v>
      </c>
      <c r="O8" s="70">
        <f>IFERROR(__xludf.DUMMYFUNCTION("""COMPUTED_VALUE"""),3.47138171271675E-5)</f>
        <v>0.00003471381713</v>
      </c>
      <c r="P8" s="70">
        <f>IFERROR(__xludf.DUMMYFUNCTION("""COMPUTED_VALUE"""),5.163387637749681E-5)</f>
        <v>0.00005163387638</v>
      </c>
      <c r="Q8" s="70">
        <f>IFERROR(__xludf.DUMMYFUNCTION("""COMPUTED_VALUE"""),4.251576395290651E-5)</f>
        <v>0.00004251576395</v>
      </c>
      <c r="R8" s="70">
        <f>IFERROR(__xludf.DUMMYFUNCTION("""COMPUTED_VALUE"""),5.2103872382280014E-5)</f>
        <v>0.00005210387238</v>
      </c>
      <c r="S8" s="70">
        <f>IFERROR(__xludf.DUMMYFUNCTION("""COMPUTED_VALUE"""),4.122056312694519E-5)</f>
        <v>0.00004122056313</v>
      </c>
      <c r="T8" s="70">
        <f>IFERROR(__xludf.DUMMYFUNCTION("""COMPUTED_VALUE"""),3.018446339147608E-5)</f>
        <v>0.00003018446339</v>
      </c>
      <c r="U8" s="70">
        <f>IFERROR(__xludf.DUMMYFUNCTION("""COMPUTED_VALUE"""),4.123338299480379E-5)</f>
        <v>0.00004123338299</v>
      </c>
      <c r="V8" s="70">
        <f>IFERROR(__xludf.DUMMYFUNCTION("""COMPUTED_VALUE"""),4.464657857314135E-5)</f>
        <v>0.00004464657857</v>
      </c>
      <c r="W8" s="70">
        <f>IFERROR(__xludf.DUMMYFUNCTION("""COMPUTED_VALUE"""),5.3958215144745736E-5)</f>
        <v>0.00005395821514</v>
      </c>
      <c r="X8" s="70">
        <f>IFERROR(__xludf.DUMMYFUNCTION("""COMPUTED_VALUE"""),6.093492832379652E-5)</f>
        <v>0.00006093492832</v>
      </c>
      <c r="Y8" s="70">
        <f>IFERROR(__xludf.DUMMYFUNCTION("""COMPUTED_VALUE"""),5.458314543888041E-5)</f>
        <v>0.00005458314544</v>
      </c>
      <c r="Z8" s="70">
        <f>IFERROR(__xludf.DUMMYFUNCTION("""COMPUTED_VALUE"""),4.063757912961304E-5)</f>
        <v>0.00004063757913</v>
      </c>
      <c r="AA8" s="70">
        <f>IFERROR(__xludf.DUMMYFUNCTION("""COMPUTED_VALUE"""),4.122753353578606E-5)</f>
        <v>0.00004122753354</v>
      </c>
      <c r="AB8" s="70">
        <f>IFERROR(__xludf.DUMMYFUNCTION("""COMPUTED_VALUE"""),3.831403214682611E-5)</f>
        <v>0.00003831403215</v>
      </c>
      <c r="AC8" s="70">
        <f>IFERROR(__xludf.DUMMYFUNCTION("""COMPUTED_VALUE"""),3.65869497862588E-5)</f>
        <v>0.00003658694979</v>
      </c>
    </row>
    <row r="9" ht="30.0" customHeight="1">
      <c r="A9" s="64" t="str">
        <f>IFERROR(__xludf.DUMMYFUNCTION("""COMPUTED_VALUE"""),"Impact 08事件機率")</f>
        <v>Impact 08事件機率</v>
      </c>
      <c r="B9" s="67" t="str">
        <f t="shared" si="1"/>
        <v>0.005%</v>
      </c>
      <c r="C9" s="69">
        <f>IFERROR(__xludf.DUMMYFUNCTION("""COMPUTED_VALUE"""),5.513152193627835E-5)</f>
        <v>0.00005513152194</v>
      </c>
      <c r="D9" s="69">
        <f>IFERROR(__xludf.DUMMYFUNCTION("""COMPUTED_VALUE"""),5.127241745081183E-5)</f>
        <v>0.00005127241745</v>
      </c>
      <c r="E9" s="69">
        <f>IFERROR(__xludf.DUMMYFUNCTION("""COMPUTED_VALUE"""),5.345273672065395E-5)</f>
        <v>0.00005345273672</v>
      </c>
      <c r="F9" s="69">
        <f>IFERROR(__xludf.DUMMYFUNCTION("""COMPUTED_VALUE"""),3.835847072069936E-5)</f>
        <v>0.00003835847072</v>
      </c>
      <c r="G9" s="69">
        <f>IFERROR(__xludf.DUMMYFUNCTION("""COMPUTED_VALUE"""),3.217653148187753E-5)</f>
        <v>0.00003217653148</v>
      </c>
      <c r="H9" s="69">
        <f>IFERROR(__xludf.DUMMYFUNCTION("""COMPUTED_VALUE"""),4.000283058101682E-5)</f>
        <v>0.00004000283058</v>
      </c>
      <c r="I9" s="69">
        <f>IFERROR(__xludf.DUMMYFUNCTION("""COMPUTED_VALUE"""),4.6703303024347E-5)</f>
        <v>0.00004670330302</v>
      </c>
      <c r="J9" s="69">
        <f>IFERROR(__xludf.DUMMYFUNCTION("""COMPUTED_VALUE"""),5.266228742527936E-5)</f>
        <v>0.00005266228743</v>
      </c>
      <c r="K9" s="69">
        <f>IFERROR(__xludf.DUMMYFUNCTION("""COMPUTED_VALUE"""),6.034035379628722E-5)</f>
        <v>0.0000603403538</v>
      </c>
      <c r="L9" s="69">
        <f>IFERROR(__xludf.DUMMYFUNCTION("""COMPUTED_VALUE"""),6.034035379628722E-5)</f>
        <v>0.0000603403538</v>
      </c>
      <c r="M9" s="69">
        <f>IFERROR(__xludf.DUMMYFUNCTION("""COMPUTED_VALUE"""),3.792614189909376E-5)</f>
        <v>0.0000379261419</v>
      </c>
      <c r="N9" s="69">
        <f>IFERROR(__xludf.DUMMYFUNCTION("""COMPUTED_VALUE"""),4.009830520152284E-5)</f>
        <v>0.0000400983052</v>
      </c>
      <c r="O9" s="69">
        <f>IFERROR(__xludf.DUMMYFUNCTION("""COMPUTED_VALUE"""),3.807758436142393E-5)</f>
        <v>0.00003807758436</v>
      </c>
      <c r="P9" s="69">
        <f>IFERROR(__xludf.DUMMYFUNCTION("""COMPUTED_VALUE"""),5.667563282511924E-5)</f>
        <v>0.00005667563283</v>
      </c>
      <c r="Q9" s="69">
        <f>IFERROR(__xludf.DUMMYFUNCTION("""COMPUTED_VALUE"""),4.6703303024347E-5)</f>
        <v>0.00004670330302</v>
      </c>
      <c r="R9" s="69">
        <f>IFERROR(__xludf.DUMMYFUNCTION("""COMPUTED_VALUE"""),5.717732062400418E-5)</f>
        <v>0.00005717732062</v>
      </c>
      <c r="S9" s="69">
        <f>IFERROR(__xludf.DUMMYFUNCTION("""COMPUTED_VALUE"""),4.5244725442279215E-5)</f>
        <v>0.00004524472544</v>
      </c>
      <c r="T9" s="69">
        <f>IFERROR(__xludf.DUMMYFUNCTION("""COMPUTED_VALUE"""),3.313019835698344E-5)</f>
        <v>0.00003313019836</v>
      </c>
      <c r="U9" s="69">
        <f>IFERROR(__xludf.DUMMYFUNCTION("""COMPUTED_VALUE"""),4.526873508060856E-5)</f>
        <v>0.00004526873508</v>
      </c>
      <c r="V9" s="69">
        <f>IFERROR(__xludf.DUMMYFUNCTION("""COMPUTED_VALUE"""),4.902277562185262E-5)</f>
        <v>0.00004902277562</v>
      </c>
      <c r="W9" s="69">
        <f>IFERROR(__xludf.DUMMYFUNCTION("""COMPUTED_VALUE"""),5.922437925024254E-5)</f>
        <v>0.00005922437925</v>
      </c>
      <c r="X9" s="69">
        <f>IFERROR(__xludf.DUMMYFUNCTION("""COMPUTED_VALUE"""),6.686906085670393E-5)</f>
        <v>0.00006686906086</v>
      </c>
      <c r="Y9" s="69">
        <f>IFERROR(__xludf.DUMMYFUNCTION("""COMPUTED_VALUE"""),5.9919340570226765E-5)</f>
        <v>0.00005991934057</v>
      </c>
      <c r="Z9" s="69">
        <f>IFERROR(__xludf.DUMMYFUNCTION("""COMPUTED_VALUE"""),4.459101916146136E-5)</f>
        <v>0.00004459101916</v>
      </c>
      <c r="AA9" s="69">
        <f>IFERROR(__xludf.DUMMYFUNCTION("""COMPUTED_VALUE"""),4.5253443210867626E-5)</f>
        <v>0.00004525344321</v>
      </c>
      <c r="AB9" s="69">
        <f>IFERROR(__xludf.DUMMYFUNCTION("""COMPUTED_VALUE"""),4.2062545955168E-5)</f>
        <v>0.00004206254596</v>
      </c>
      <c r="AC9" s="69">
        <f>IFERROR(__xludf.DUMMYFUNCTION("""COMPUTED_VALUE"""),4.0338684043770946E-5)</f>
        <v>0.00004033868404</v>
      </c>
    </row>
    <row r="10" ht="30.0" customHeight="1">
      <c r="A10" s="64" t="str">
        <f>IFERROR(__xludf.DUMMYFUNCTION("""COMPUTED_VALUE"""),"Impact 09事件機率")</f>
        <v>Impact 09事件機率</v>
      </c>
      <c r="B10" s="67" t="str">
        <f t="shared" si="1"/>
        <v>0.009%</v>
      </c>
      <c r="C10" s="70">
        <f>IFERROR(__xludf.DUMMYFUNCTION("""COMPUTED_VALUE"""),9.851456585582838E-5)</f>
        <v>0.00009851456586</v>
      </c>
      <c r="D10" s="70">
        <f>IFERROR(__xludf.DUMMYFUNCTION("""COMPUTED_VALUE"""),9.184061918390593E-5)</f>
        <v>0.00009184061918</v>
      </c>
      <c r="E10" s="70">
        <f>IFERROR(__xludf.DUMMYFUNCTION("""COMPUTED_VALUE"""),9.594942034074329E-5)</f>
        <v>0.00009594942034</v>
      </c>
      <c r="F10" s="70">
        <f>IFERROR(__xludf.DUMMYFUNCTION("""COMPUTED_VALUE"""),6.878097774832497E-5)</f>
        <v>0.00006878097775</v>
      </c>
      <c r="G10" s="70">
        <f>IFERROR(__xludf.DUMMYFUNCTION("""COMPUTED_VALUE"""),5.7728040487782486E-5)</f>
        <v>0.00005772804049</v>
      </c>
      <c r="H10" s="70">
        <f>IFERROR(__xludf.DUMMYFUNCTION("""COMPUTED_VALUE"""),7.111491874412242E-5)</f>
        <v>0.00007111491874</v>
      </c>
      <c r="I10" s="70">
        <f>IFERROR(__xludf.DUMMYFUNCTION("""COMPUTED_VALUE"""),8.338388753206951E-5)</f>
        <v>0.00008338388753</v>
      </c>
      <c r="J10" s="70">
        <f>IFERROR(__xludf.DUMMYFUNCTION("""COMPUTED_VALUE"""),9.427223407499384E-5)</f>
        <v>0.00009427223407</v>
      </c>
      <c r="K10" s="70">
        <f>IFERROR(__xludf.DUMMYFUNCTION("""COMPUTED_VALUE"""),1.0795613181808117E-4)</f>
        <v>0.0001079561318</v>
      </c>
      <c r="L10" s="70">
        <f>IFERROR(__xludf.DUMMYFUNCTION("""COMPUTED_VALUE"""),1.0795613181808117E-4)</f>
        <v>0.0001079561318</v>
      </c>
      <c r="M10" s="70">
        <f>IFERROR(__xludf.DUMMYFUNCTION("""COMPUTED_VALUE"""),6.802948000982773E-5)</f>
        <v>0.00006802948001</v>
      </c>
      <c r="N10" s="70">
        <f>IFERROR(__xludf.DUMMYFUNCTION("""COMPUTED_VALUE"""),7.212955880465842E-5)</f>
        <v>0.0000721295588</v>
      </c>
      <c r="O10" s="70">
        <f>IFERROR(__xludf.DUMMYFUNCTION("""COMPUTED_VALUE"""),6.815676734786631E-5)</f>
        <v>0.00006815676735</v>
      </c>
      <c r="P10" s="70">
        <f>IFERROR(__xludf.DUMMYFUNCTION("""COMPUTED_VALUE"""),1.0139585127054753E-4)</f>
        <v>0.0001013958513</v>
      </c>
      <c r="Q10" s="70">
        <f>IFERROR(__xludf.DUMMYFUNCTION("""COMPUTED_VALUE"""),8.338388753206951E-5)</f>
        <v>0.00008338388753</v>
      </c>
      <c r="R10" s="70">
        <f>IFERROR(__xludf.DUMMYFUNCTION("""COMPUTED_VALUE"""),1.0192912473933551E-4)</f>
        <v>0.0001019291247</v>
      </c>
      <c r="S10" s="70">
        <f>IFERROR(__xludf.DUMMYFUNCTION("""COMPUTED_VALUE"""),8.106020555325068E-5)</f>
        <v>0.00008106020555</v>
      </c>
      <c r="T10" s="70">
        <f>IFERROR(__xludf.DUMMYFUNCTION("""COMPUTED_VALUE"""),5.923633186652257E-5)</f>
        <v>0.00005923633187</v>
      </c>
      <c r="U10" s="70">
        <f>IFERROR(__xludf.DUMMYFUNCTION("""COMPUTED_VALUE"""),8.100412497261224E-5)</f>
        <v>0.00008100412497</v>
      </c>
      <c r="V10" s="70">
        <f>IFERROR(__xludf.DUMMYFUNCTION("""COMPUTED_VALUE"""),8.805241735902729E-5)</f>
        <v>0.00008805241736</v>
      </c>
      <c r="W10" s="70">
        <f>IFERROR(__xludf.DUMMYFUNCTION("""COMPUTED_VALUE"""),1.0649443372948974E-4)</f>
        <v>0.0001064944337</v>
      </c>
      <c r="X10" s="70">
        <f>IFERROR(__xludf.DUMMYFUNCTION("""COMPUTED_VALUE"""),1.1943789280404012E-4)</f>
        <v>0.0001194378928</v>
      </c>
      <c r="Y10" s="70">
        <f>IFERROR(__xludf.DUMMYFUNCTION("""COMPUTED_VALUE"""),1.0682478483579959E-4)</f>
        <v>0.0001068247848</v>
      </c>
      <c r="Z10" s="70">
        <f>IFERROR(__xludf.DUMMYFUNCTION("""COMPUTED_VALUE"""),7.956365194098501E-5)</f>
        <v>0.00007956365194</v>
      </c>
      <c r="AA10" s="70">
        <f>IFERROR(__xludf.DUMMYFUNCTION("""COMPUTED_VALUE"""),8.106230144655696E-5)</f>
        <v>0.00008106230145</v>
      </c>
      <c r="AB10" s="70">
        <f>IFERROR(__xludf.DUMMYFUNCTION("""COMPUTED_VALUE"""),7.519237919177907E-5)</f>
        <v>0.00007519237919</v>
      </c>
      <c r="AC10" s="70">
        <f>IFERROR(__xludf.DUMMYFUNCTION("""COMPUTED_VALUE"""),7.211835893530596E-5)</f>
        <v>0.00007211835894</v>
      </c>
    </row>
    <row r="11" ht="30.0" customHeight="1">
      <c r="A11" s="64" t="str">
        <f>IFERROR(__xludf.DUMMYFUNCTION("""COMPUTED_VALUE"""),"Impact 10事件機率")</f>
        <v>Impact 10事件機率</v>
      </c>
      <c r="B11" s="67" t="str">
        <f t="shared" si="1"/>
        <v>0.006%</v>
      </c>
      <c r="C11" s="69">
        <f>IFERROR(__xludf.DUMMYFUNCTION("""COMPUTED_VALUE"""),6.699885546443627E-5)</f>
        <v>0.00006699885546</v>
      </c>
      <c r="D11" s="69">
        <f>IFERROR(__xludf.DUMMYFUNCTION("""COMPUTED_VALUE"""),6.208832160310066E-5)</f>
        <v>0.0000620883216</v>
      </c>
      <c r="E11" s="69">
        <f>IFERROR(__xludf.DUMMYFUNCTION("""COMPUTED_VALUE"""),6.51795982258059E-5)</f>
        <v>0.00006517959823</v>
      </c>
      <c r="F11" s="69">
        <f>IFERROR(__xludf.DUMMYFUNCTION("""COMPUTED_VALUE"""),4.650751741091501E-5)</f>
        <v>0.00004650751741</v>
      </c>
      <c r="G11" s="69">
        <f>IFERROR(__xludf.DUMMYFUNCTION("""COMPUTED_VALUE"""),3.926983194090373E-5)</f>
        <v>0.00003926983194</v>
      </c>
      <c r="H11" s="69">
        <f>IFERROR(__xludf.DUMMYFUNCTION("""COMPUTED_VALUE"""),4.811228329504687E-5)</f>
        <v>0.0000481122833</v>
      </c>
      <c r="I11" s="69">
        <f>IFERROR(__xludf.DUMMYFUNCTION("""COMPUTED_VALUE"""),5.6624299481138854E-5)</f>
        <v>0.00005662429948</v>
      </c>
      <c r="J11" s="69">
        <f>IFERROR(__xludf.DUMMYFUNCTION("""COMPUTED_VALUE"""),6.385254593071155E-5)</f>
        <v>0.00006385254593</v>
      </c>
      <c r="K11" s="69">
        <f>IFERROR(__xludf.DUMMYFUNCTION("""COMPUTED_VALUE"""),7.319879404461385E-5)</f>
        <v>0.00007319879404</v>
      </c>
      <c r="L11" s="69">
        <f>IFERROR(__xludf.DUMMYFUNCTION("""COMPUTED_VALUE"""),7.319879404461385E-5)</f>
        <v>0.00007319879404</v>
      </c>
      <c r="M11" s="69">
        <f>IFERROR(__xludf.DUMMYFUNCTION("""COMPUTED_VALUE"""),4.604083881787814E-5)</f>
        <v>0.00004604083882</v>
      </c>
      <c r="N11" s="69">
        <f>IFERROR(__xludf.DUMMYFUNCTION("""COMPUTED_VALUE"""),4.898767564918241E-5)</f>
        <v>0.00004898767565</v>
      </c>
      <c r="O11" s="69">
        <f>IFERROR(__xludf.DUMMYFUNCTION("""COMPUTED_VALUE"""),4.6111610038786785E-5)</f>
        <v>0.00004611161004</v>
      </c>
      <c r="P11" s="69">
        <f>IFERROR(__xludf.DUMMYFUNCTION("""COMPUTED_VALUE"""),6.895908925660469E-5)</f>
        <v>0.00006895908926</v>
      </c>
      <c r="Q11" s="69">
        <f>IFERROR(__xludf.DUMMYFUNCTION("""COMPUTED_VALUE"""),5.6624299481138854E-5)</f>
        <v>0.00005662429948</v>
      </c>
      <c r="R11" s="69">
        <f>IFERROR(__xludf.DUMMYFUNCTION("""COMPUTED_VALUE"""),6.889253922313204E-5)</f>
        <v>0.00006889253922</v>
      </c>
      <c r="S11" s="69">
        <f>IFERROR(__xludf.DUMMYFUNCTION("""COMPUTED_VALUE"""),5.474287105758461E-5)</f>
        <v>0.00005474287106</v>
      </c>
      <c r="T11" s="69">
        <f>IFERROR(__xludf.DUMMYFUNCTION("""COMPUTED_VALUE"""),4.02335723733526E-5)</f>
        <v>0.00004023357237</v>
      </c>
      <c r="U11" s="69">
        <f>IFERROR(__xludf.DUMMYFUNCTION("""COMPUTED_VALUE"""),5.487612538781892E-5)</f>
        <v>0.00005487612539</v>
      </c>
      <c r="V11" s="69">
        <f>IFERROR(__xludf.DUMMYFUNCTION("""COMPUTED_VALUE"""),5.9841725996928575E-5)</f>
        <v>0.000059841726</v>
      </c>
      <c r="W11" s="69">
        <f>IFERROR(__xludf.DUMMYFUNCTION("""COMPUTED_VALUE"""),7.209163052264366E-5)</f>
        <v>0.00007209163052</v>
      </c>
      <c r="X11" s="69">
        <f>IFERROR(__xludf.DUMMYFUNCTION("""COMPUTED_VALUE"""),8.105266010337186E-5)</f>
        <v>0.0000810526601</v>
      </c>
      <c r="Y11" s="69">
        <f>IFERROR(__xludf.DUMMYFUNCTION("""COMPUTED_VALUE"""),7.239976615660238E-5)</f>
        <v>0.00007239976616</v>
      </c>
      <c r="Z11" s="69">
        <f>IFERROR(__xludf.DUMMYFUNCTION("""COMPUTED_VALUE"""),5.391194231839006E-5)</f>
        <v>0.00005391194232</v>
      </c>
      <c r="AA11" s="69">
        <f>IFERROR(__xludf.DUMMYFUNCTION("""COMPUTED_VALUE"""),5.47679830046258E-5)</f>
        <v>0.000054767983</v>
      </c>
      <c r="AB11" s="69">
        <f>IFERROR(__xludf.DUMMYFUNCTION("""COMPUTED_VALUE"""),5.108257494557133E-5)</f>
        <v>0.00005108257495</v>
      </c>
      <c r="AC11" s="69">
        <f>IFERROR(__xludf.DUMMYFUNCTION("""COMPUTED_VALUE"""),4.880623364422035E-5)</f>
        <v>0.00004880623364</v>
      </c>
    </row>
    <row r="12" ht="30.0" customHeight="1">
      <c r="A12" s="64" t="str">
        <f>IFERROR(__xludf.DUMMYFUNCTION("""COMPUTED_VALUE"""),"Impact 11事件機率")</f>
        <v>Impact 11事件機率</v>
      </c>
      <c r="B12" s="67" t="str">
        <f t="shared" si="1"/>
        <v>0.005%</v>
      </c>
      <c r="C12" s="70">
        <f>IFERROR(__xludf.DUMMYFUNCTION("""COMPUTED_VALUE"""),7.90441819349188E-5)</f>
        <v>0.00007904418193</v>
      </c>
      <c r="D12" s="70">
        <f>IFERROR(__xludf.DUMMYFUNCTION("""COMPUTED_VALUE"""),4.919843965358505E-5)</f>
        <v>0.00004919843965</v>
      </c>
      <c r="E12" s="70">
        <f>IFERROR(__xludf.DUMMYFUNCTION("""COMPUTED_VALUE"""),6.508419056077436E-5)</f>
        <v>0.00006508419056</v>
      </c>
      <c r="F12" s="70">
        <f>IFERROR(__xludf.DUMMYFUNCTION("""COMPUTED_VALUE"""),4.458055689571561E-5)</f>
        <v>0.0000445805569</v>
      </c>
      <c r="G12" s="70">
        <f>IFERROR(__xludf.DUMMYFUNCTION("""COMPUTED_VALUE"""),3.76404060818864E-5)</f>
        <v>0.00003764040608</v>
      </c>
      <c r="H12" s="70">
        <f>IFERROR(__xludf.DUMMYFUNCTION("""COMPUTED_VALUE"""),5.2113169330908304E-5)</f>
        <v>0.00005211316933</v>
      </c>
      <c r="I12" s="70">
        <f>IFERROR(__xludf.DUMMYFUNCTION("""COMPUTED_VALUE"""),3.595598518401591E-5)</f>
        <v>0.00003595598518</v>
      </c>
      <c r="J12" s="70">
        <f>IFERROR(__xludf.DUMMYFUNCTION("""COMPUTED_VALUE"""),6.269916944892285E-5)</f>
        <v>0.00006269916945</v>
      </c>
      <c r="K12" s="70">
        <f>IFERROR(__xludf.DUMMYFUNCTION("""COMPUTED_VALUE"""),4.1736627914710036E-5)</f>
        <v>0.00004173662791</v>
      </c>
      <c r="L12" s="70">
        <f>IFERROR(__xludf.DUMMYFUNCTION("""COMPUTED_VALUE"""),4.1736627914710036E-5)</f>
        <v>0.00004173662791</v>
      </c>
      <c r="M12" s="70">
        <f>IFERROR(__xludf.DUMMYFUNCTION("""COMPUTED_VALUE"""),4.5178976903731344E-5)</f>
        <v>0.0000451789769</v>
      </c>
      <c r="N12" s="70">
        <f>IFERROR(__xludf.DUMMYFUNCTION("""COMPUTED_VALUE"""),3.6746247084842316E-5)</f>
        <v>0.00003674624708</v>
      </c>
      <c r="O12" s="70">
        <f>IFERROR(__xludf.DUMMYFUNCTION("""COMPUTED_VALUE"""),4.1816341148748595E-5)</f>
        <v>0.00004181634115</v>
      </c>
      <c r="P12" s="70">
        <f>IFERROR(__xludf.DUMMYFUNCTION("""COMPUTED_VALUE"""),5.762901222920621E-5)</f>
        <v>0.00005762901223</v>
      </c>
      <c r="Q12" s="70">
        <f>IFERROR(__xludf.DUMMYFUNCTION("""COMPUTED_VALUE"""),3.595598518401591E-5)</f>
        <v>0.00003595598518</v>
      </c>
      <c r="R12" s="70">
        <f>IFERROR(__xludf.DUMMYFUNCTION("""COMPUTED_VALUE"""),6.509649158983496E-5)</f>
        <v>0.00006509649159</v>
      </c>
      <c r="S12" s="70">
        <f>IFERROR(__xludf.DUMMYFUNCTION("""COMPUTED_VALUE"""),5.872503287923808E-5)</f>
        <v>0.00005872503288</v>
      </c>
      <c r="T12" s="70">
        <f>IFERROR(__xludf.DUMMYFUNCTION("""COMPUTED_VALUE"""),3.195885741667651E-5)</f>
        <v>0.00003195885742</v>
      </c>
      <c r="U12" s="70">
        <f>IFERROR(__xludf.DUMMYFUNCTION("""COMPUTED_VALUE"""),6.153563936282051E-5)</f>
        <v>0.00006153563936</v>
      </c>
      <c r="V12" s="70">
        <f>IFERROR(__xludf.DUMMYFUNCTION("""COMPUTED_VALUE"""),4.251601521628699E-5)</f>
        <v>0.00004251601522</v>
      </c>
      <c r="W12" s="70">
        <f>IFERROR(__xludf.DUMMYFUNCTION("""COMPUTED_VALUE"""),7.150490820270076E-5)</f>
        <v>0.0000715049082</v>
      </c>
      <c r="X12" s="70">
        <f>IFERROR(__xludf.DUMMYFUNCTION("""COMPUTED_VALUE"""),5.1166302074872045E-5)</f>
        <v>0.00005116630207</v>
      </c>
      <c r="Y12" s="70">
        <f>IFERROR(__xludf.DUMMYFUNCTION("""COMPUTED_VALUE"""),7.10296239550177E-5)</f>
        <v>0.00007102962396</v>
      </c>
      <c r="Z12" s="70">
        <f>IFERROR(__xludf.DUMMYFUNCTION("""COMPUTED_VALUE"""),5.993182838932682E-5)</f>
        <v>0.00005993182839</v>
      </c>
      <c r="AA12" s="70">
        <f>IFERROR(__xludf.DUMMYFUNCTION("""COMPUTED_VALUE"""),5.100519285979955E-5)</f>
        <v>0.00005100519286</v>
      </c>
      <c r="AB12" s="70">
        <f>IFERROR(__xludf.DUMMYFUNCTION("""COMPUTED_VALUE"""),3.9041152689070136E-5)</f>
        <v>0.00003904115269</v>
      </c>
      <c r="AC12" s="70">
        <f>IFERROR(__xludf.DUMMYFUNCTION("""COMPUTED_VALUE"""),4.431262388547336E-5)</f>
        <v>0.00004431262389</v>
      </c>
    </row>
    <row r="13" ht="30.0" customHeight="1">
      <c r="A13" s="64" t="str">
        <f>IFERROR(__xludf.DUMMYFUNCTION("""COMPUTED_VALUE"""),"Impact 12事件機率")</f>
        <v>Impact 12事件機率</v>
      </c>
      <c r="B13" s="67" t="str">
        <f t="shared" si="1"/>
        <v>0.006%</v>
      </c>
      <c r="C13" s="69">
        <f>IFERROR(__xludf.DUMMYFUNCTION("""COMPUTED_VALUE"""),8.691272826802402E-5)</f>
        <v>0.00008691272827</v>
      </c>
      <c r="D13" s="69">
        <f>IFERROR(__xludf.DUMMYFUNCTION("""COMPUTED_VALUE"""),5.4001240382838275E-5)</f>
        <v>0.00005400124038</v>
      </c>
      <c r="E13" s="69">
        <f>IFERROR(__xludf.DUMMYFUNCTION("""COMPUTED_VALUE"""),7.136223118698512E-5)</f>
        <v>0.00007136223119</v>
      </c>
      <c r="F13" s="69">
        <f>IFERROR(__xludf.DUMMYFUNCTION("""COMPUTED_VALUE"""),4.8796917291025186E-5)</f>
        <v>0.00004879691729</v>
      </c>
      <c r="G13" s="69">
        <f>IFERROR(__xludf.DUMMYFUNCTION("""COMPUTED_VALUE"""),4.1260514865089346E-5)</f>
        <v>0.00004126051487</v>
      </c>
      <c r="H13" s="69">
        <f>IFERROR(__xludf.DUMMYFUNCTION("""COMPUTED_VALUE"""),5.701240105658743E-5)</f>
        <v>0.00005701240106</v>
      </c>
      <c r="I13" s="69">
        <f>IFERROR(__xludf.DUMMYFUNCTION("""COMPUTED_VALUE"""),3.93851564809992E-5)</f>
        <v>0.00003938515648</v>
      </c>
      <c r="J13" s="69">
        <f>IFERROR(__xludf.DUMMYFUNCTION("""COMPUTED_VALUE"""),6.858903094044875E-5)</f>
        <v>0.00006858903094</v>
      </c>
      <c r="K13" s="69">
        <f>IFERROR(__xludf.DUMMYFUNCTION("""COMPUTED_VALUE"""),4.5991623868371806E-5)</f>
        <v>0.00004599162387</v>
      </c>
      <c r="L13" s="69">
        <f>IFERROR(__xludf.DUMMYFUNCTION("""COMPUTED_VALUE"""),4.5991623868371806E-5)</f>
        <v>0.00004599162387</v>
      </c>
      <c r="M13" s="69">
        <f>IFERROR(__xludf.DUMMYFUNCTION("""COMPUTED_VALUE"""),4.955339398396324E-5)</f>
        <v>0.00004955339398</v>
      </c>
      <c r="N13" s="69">
        <f>IFERROR(__xludf.DUMMYFUNCTION("""COMPUTED_VALUE"""),4.042390616408691E-5)</f>
        <v>0.00004042390616</v>
      </c>
      <c r="O13" s="69">
        <f>IFERROR(__xludf.DUMMYFUNCTION("""COMPUTED_VALUE"""),4.587919454554496E-5)</f>
        <v>0.00004587919455</v>
      </c>
      <c r="P13" s="69">
        <f>IFERROR(__xludf.DUMMYFUNCTION("""COMPUTED_VALUE"""),6.360693695419289E-5)</f>
        <v>0.00006360693695</v>
      </c>
      <c r="Q13" s="69">
        <f>IFERROR(__xludf.DUMMYFUNCTION("""COMPUTED_VALUE"""),3.93851564809992E-5)</f>
        <v>0.00003938515648</v>
      </c>
      <c r="R13" s="69">
        <f>IFERROR(__xludf.DUMMYFUNCTION("""COMPUTED_VALUE"""),7.153213117139173E-5)</f>
        <v>0.00007153213117</v>
      </c>
      <c r="S13" s="69">
        <f>IFERROR(__xludf.DUMMYFUNCTION("""COMPUTED_VALUE"""),6.454974407269211E-5)</f>
        <v>0.00006454974407</v>
      </c>
      <c r="T13" s="69">
        <f>IFERROR(__xludf.DUMMYFUNCTION("""COMPUTED_VALUE"""),3.508662806857238E-5)</f>
        <v>0.00003508662807</v>
      </c>
      <c r="U13" s="69">
        <f>IFERROR(__xludf.DUMMYFUNCTION("""COMPUTED_VALUE"""),6.752756450667645E-5)</f>
        <v>0.00006752756451</v>
      </c>
      <c r="V13" s="69">
        <f>IFERROR(__xludf.DUMMYFUNCTION("""COMPUTED_VALUE"""),4.653155516268739E-5)</f>
        <v>0.00004653155516</v>
      </c>
      <c r="W13" s="69">
        <f>IFERROR(__xludf.DUMMYFUNCTION("""COMPUTED_VALUE"""),7.832206199326268E-5)</f>
        <v>0.00007832206199</v>
      </c>
      <c r="X13" s="69">
        <f>IFERROR(__xludf.DUMMYFUNCTION("""COMPUTED_VALUE"""),5.598799855483105E-5)</f>
        <v>0.00005598799855</v>
      </c>
      <c r="Y13" s="69">
        <f>IFERROR(__xludf.DUMMYFUNCTION("""COMPUTED_VALUE"""),7.79171884251641E-5)</f>
        <v>0.00007791718843</v>
      </c>
      <c r="Z13" s="69">
        <f>IFERROR(__xludf.DUMMYFUNCTION("""COMPUTED_VALUE"""),6.555269302663304E-5)</f>
        <v>0.00006555269303</v>
      </c>
      <c r="AA13" s="69">
        <f>IFERROR(__xludf.DUMMYFUNCTION("""COMPUTED_VALUE"""),5.6130804344955935E-5)</f>
        <v>0.00005613080434</v>
      </c>
      <c r="AB13" s="69">
        <f>IFERROR(__xludf.DUMMYFUNCTION("""COMPUTED_VALUE"""),4.2862058111469356E-5)</f>
        <v>0.00004286205811</v>
      </c>
      <c r="AC13" s="69">
        <f>IFERROR(__xludf.DUMMYFUNCTION("""COMPUTED_VALUE"""),4.860404769876556E-5)</f>
        <v>0.0000486040477</v>
      </c>
    </row>
    <row r="14" ht="30.0" customHeight="1">
      <c r="A14" s="64" t="str">
        <f>IFERROR(__xludf.DUMMYFUNCTION("""COMPUTED_VALUE"""),"Impact 13事件機率")</f>
        <v>Impact 13事件機率</v>
      </c>
      <c r="B14" s="67" t="str">
        <f t="shared" si="1"/>
        <v>4.418%</v>
      </c>
      <c r="C14" s="70">
        <f>IFERROR(__xludf.DUMMYFUNCTION("""COMPUTED_VALUE"""),0.046256583669010566)</f>
        <v>0.04625658367</v>
      </c>
      <c r="D14" s="70">
        <f>IFERROR(__xludf.DUMMYFUNCTION("""COMPUTED_VALUE"""),0.05112569773943299)</f>
        <v>0.05112569774</v>
      </c>
      <c r="E14" s="70">
        <f>IFERROR(__xludf.DUMMYFUNCTION("""COMPUTED_VALUE"""),0.04463378925789615)</f>
        <v>0.04463378926</v>
      </c>
      <c r="F14" s="70">
        <f>IFERROR(__xludf.DUMMYFUNCTION("""COMPUTED_VALUE"""),0.04933208286399064)</f>
        <v>0.04933208286</v>
      </c>
      <c r="G14" s="70">
        <f>IFERROR(__xludf.DUMMYFUNCTION("""COMPUTED_VALUE"""),0.033185673909767927)</f>
        <v>0.03318567391</v>
      </c>
      <c r="H14" s="70">
        <f>IFERROR(__xludf.DUMMYFUNCTION("""COMPUTED_VALUE"""),0.030356745198019657)</f>
        <v>0.0303567452</v>
      </c>
      <c r="I14" s="70">
        <f>IFERROR(__xludf.DUMMYFUNCTION("""COMPUTED_VALUE"""),0.03355219206096875)</f>
        <v>0.03355219206</v>
      </c>
      <c r="J14" s="70">
        <f>IFERROR(__xludf.DUMMYFUNCTION("""COMPUTED_VALUE"""),0.05112569773943299)</f>
        <v>0.05112569774</v>
      </c>
      <c r="K14" s="70">
        <f>IFERROR(__xludf.DUMMYFUNCTION("""COMPUTED_VALUE"""),0.05620659042716786)</f>
        <v>0.05620659043</v>
      </c>
      <c r="L14" s="70">
        <f>IFERROR(__xludf.DUMMYFUNCTION("""COMPUTED_VALUE"""),0.05620659042716786)</f>
        <v>0.05620659043</v>
      </c>
      <c r="M14" s="70">
        <f>IFERROR(__xludf.DUMMYFUNCTION("""COMPUTED_VALUE"""),0.03477208198433121)</f>
        <v>0.03477208198</v>
      </c>
      <c r="N14" s="70">
        <f>IFERROR(__xludf.DUMMYFUNCTION("""COMPUTED_VALUE"""),0.03843230114057725)</f>
        <v>0.03843230114</v>
      </c>
      <c r="O14" s="70">
        <f>IFERROR(__xludf.DUMMYFUNCTION("""COMPUTED_VALUE"""),0.03606684056069473)</f>
        <v>0.03606684056</v>
      </c>
      <c r="P14" s="70">
        <f>IFERROR(__xludf.DUMMYFUNCTION("""COMPUTED_VALUE"""),0.04361437134274658)</f>
        <v>0.04361437134</v>
      </c>
      <c r="Q14" s="70">
        <f>IFERROR(__xludf.DUMMYFUNCTION("""COMPUTED_VALUE"""),0.03355219206096875)</f>
        <v>0.03355219206</v>
      </c>
      <c r="R14" s="70">
        <f>IFERROR(__xludf.DUMMYFUNCTION("""COMPUTED_VALUE"""),0.05650735013305684)</f>
        <v>0.05650735013</v>
      </c>
      <c r="S14" s="70">
        <f>IFERROR(__xludf.DUMMYFUNCTION("""COMPUTED_VALUE"""),0.054524933691778014)</f>
        <v>0.05452493369</v>
      </c>
      <c r="T14" s="70">
        <f>IFERROR(__xludf.DUMMYFUNCTION("""COMPUTED_VALUE"""),0.03477208198433121)</f>
        <v>0.03477208198</v>
      </c>
      <c r="U14" s="70">
        <f>IFERROR(__xludf.DUMMYFUNCTION("""COMPUTED_VALUE"""),0.03409767331537604)</f>
        <v>0.03409767332</v>
      </c>
      <c r="V14" s="70">
        <f>IFERROR(__xludf.DUMMYFUNCTION("""COMPUTED_VALUE"""),0.03708400175159772)</f>
        <v>0.03708400175</v>
      </c>
      <c r="W14" s="70">
        <f>IFERROR(__xludf.DUMMYFUNCTION("""COMPUTED_VALUE"""),0.05650735013305684)</f>
        <v>0.05650735013</v>
      </c>
      <c r="X14" s="70">
        <f>IFERROR(__xludf.DUMMYFUNCTION("""COMPUTED_VALUE"""),0.06245549225232611)</f>
        <v>0.06245549225</v>
      </c>
      <c r="Y14" s="70">
        <f>IFERROR(__xludf.DUMMYFUNCTION("""COMPUTED_VALUE"""),0.05687341807182109)</f>
        <v>0.05687341807</v>
      </c>
      <c r="Z14" s="70">
        <f>IFERROR(__xludf.DUMMYFUNCTION("""COMPUTED_VALUE"""),0.03843230114057725)</f>
        <v>0.03843230114</v>
      </c>
      <c r="AA14" s="70">
        <f>IFERROR(__xludf.DUMMYFUNCTION("""COMPUTED_VALUE"""),0.04247780652379525)</f>
        <v>0.04247780652</v>
      </c>
      <c r="AB14" s="70">
        <f>IFERROR(__xludf.DUMMYFUNCTION("""COMPUTED_VALUE"""),0.03708400175159772)</f>
        <v>0.03708400175</v>
      </c>
      <c r="AC14" s="70">
        <f>IFERROR(__xludf.DUMMYFUNCTION("""COMPUTED_VALUE"""),0.040987580883344026)</f>
        <v>0.04098758088</v>
      </c>
    </row>
    <row r="15" ht="30.0" customHeight="1">
      <c r="A15" s="64" t="str">
        <f>IFERROR(__xludf.DUMMYFUNCTION("""COMPUTED_VALUE"""),"Impact 14事件機率")</f>
        <v>Impact 14事件機率</v>
      </c>
      <c r="B15" s="67" t="str">
        <f t="shared" si="1"/>
        <v>1.784%</v>
      </c>
      <c r="C15" s="69">
        <f>IFERROR(__xludf.DUMMYFUNCTION("""COMPUTED_VALUE"""),0.02060081105771872)</f>
        <v>0.02060081106</v>
      </c>
      <c r="D15" s="69">
        <f>IFERROR(__xludf.DUMMYFUNCTION("""COMPUTED_VALUE"""),0.017193305944766087)</f>
        <v>0.01719330594</v>
      </c>
      <c r="E15" s="69">
        <f>IFERROR(__xludf.DUMMYFUNCTION("""COMPUTED_VALUE"""),0.021469333164897)</f>
        <v>0.02146933316</v>
      </c>
      <c r="F15" s="69">
        <f>IFERROR(__xludf.DUMMYFUNCTION("""COMPUTED_VALUE"""),0.018336451296150514)</f>
        <v>0.0183364513</v>
      </c>
      <c r="G15" s="69">
        <f>IFERROR(__xludf.DUMMYFUNCTION("""COMPUTED_VALUE"""),0.013510392749833976)</f>
        <v>0.01351039275</v>
      </c>
      <c r="H15" s="69">
        <f>IFERROR(__xludf.DUMMYFUNCTION("""COMPUTED_VALUE"""),0.013519666230143296)</f>
        <v>0.01351966623</v>
      </c>
      <c r="I15" s="69">
        <f>IFERROR(__xludf.DUMMYFUNCTION("""COMPUTED_VALUE"""),0.011617698582933144)</f>
        <v>0.01161769858</v>
      </c>
      <c r="J15" s="69">
        <f>IFERROR(__xludf.DUMMYFUNCTION("""COMPUTED_VALUE"""),0.02516608774640975)</f>
        <v>0.02516608775</v>
      </c>
      <c r="K15" s="69">
        <f>IFERROR(__xludf.DUMMYFUNCTION("""COMPUTED_VALUE"""),0.021043992175593915)</f>
        <v>0.02104399218</v>
      </c>
      <c r="L15" s="69">
        <f>IFERROR(__xludf.DUMMYFUNCTION("""COMPUTED_VALUE"""),0.021043992175593915)</f>
        <v>0.02104399218</v>
      </c>
      <c r="M15" s="69">
        <f>IFERROR(__xludf.DUMMYFUNCTION("""COMPUTED_VALUE"""),0.015486078612472868)</f>
        <v>0.01548607861</v>
      </c>
      <c r="N15" s="69">
        <f>IFERROR(__xludf.DUMMYFUNCTION("""COMPUTED_VALUE"""),0.013883166166199558)</f>
        <v>0.01388316617</v>
      </c>
      <c r="O15" s="69">
        <f>IFERROR(__xludf.DUMMYFUNCTION("""COMPUTED_VALUE"""),0.014032965852189978)</f>
        <v>0.01403296585</v>
      </c>
      <c r="P15" s="69">
        <f>IFERROR(__xludf.DUMMYFUNCTION("""COMPUTED_VALUE"""),0.017962752221691594)</f>
        <v>0.01796275222</v>
      </c>
      <c r="Q15" s="69">
        <f>IFERROR(__xludf.DUMMYFUNCTION("""COMPUTED_VALUE"""),0.011617698582933144)</f>
        <v>0.01161769858</v>
      </c>
      <c r="R15" s="69">
        <f>IFERROR(__xludf.DUMMYFUNCTION("""COMPUTED_VALUE"""),0.019003127623162513)</f>
        <v>0.01900312762</v>
      </c>
      <c r="S15" s="69">
        <f>IFERROR(__xludf.DUMMYFUNCTION("""COMPUTED_VALUE"""),0.020266604064166496)</f>
        <v>0.02026660406</v>
      </c>
      <c r="T15" s="69">
        <f>IFERROR(__xludf.DUMMYFUNCTION("""COMPUTED_VALUE"""),0.01711619215062759)</f>
        <v>0.01711619215</v>
      </c>
      <c r="U15" s="69">
        <f>IFERROR(__xludf.DUMMYFUNCTION("""COMPUTED_VALUE"""),0.014869270957892483)</f>
        <v>0.01486927096</v>
      </c>
      <c r="V15" s="69">
        <f>IFERROR(__xludf.DUMMYFUNCTION("""COMPUTED_VALUE"""),0.012471156697381872)</f>
        <v>0.0124711567</v>
      </c>
      <c r="W15" s="69">
        <f>IFERROR(__xludf.DUMMYFUNCTION("""COMPUTED_VALUE"""),0.026884541054022496)</f>
        <v>0.02688454105</v>
      </c>
      <c r="X15" s="69">
        <f>IFERROR(__xludf.DUMMYFUNCTION("""COMPUTED_VALUE"""),0.02321434704103766)</f>
        <v>0.02321434704</v>
      </c>
      <c r="Y15" s="69">
        <f>IFERROR(__xludf.DUMMYFUNCTION("""COMPUTED_VALUE"""),0.024149888846437966)</f>
        <v>0.02414988885</v>
      </c>
      <c r="Z15" s="69">
        <f>IFERROR(__xludf.DUMMYFUNCTION("""COMPUTED_VALUE"""),0.01711619215062759)</f>
        <v>0.01711619215</v>
      </c>
      <c r="AA15" s="69">
        <f>IFERROR(__xludf.DUMMYFUNCTION("""COMPUTED_VALUE"""),0.014540182404686514)</f>
        <v>0.0145401824</v>
      </c>
      <c r="AB15" s="69">
        <f>IFERROR(__xludf.DUMMYFUNCTION("""COMPUTED_VALUE"""),0.01825421037430467)</f>
        <v>0.01825421037</v>
      </c>
      <c r="AC15" s="69">
        <f>IFERROR(__xludf.DUMMYFUNCTION("""COMPUTED_VALUE"""),0.015234847932258868)</f>
        <v>0.01523484793</v>
      </c>
    </row>
    <row r="16" ht="30.0" customHeight="1">
      <c r="A16" s="64" t="str">
        <f>IFERROR(__xludf.DUMMYFUNCTION("""COMPUTED_VALUE"""),"Impact 15事件機率")</f>
        <v>Impact 15事件機率</v>
      </c>
      <c r="B16" s="67" t="str">
        <f t="shared" si="1"/>
        <v>0.484%</v>
      </c>
      <c r="C16" s="70">
        <f>IFERROR(__xludf.DUMMYFUNCTION("""COMPUTED_VALUE"""),0.0064618743318095835)</f>
        <v>0.006461874332</v>
      </c>
      <c r="D16" s="70">
        <f>IFERROR(__xludf.DUMMYFUNCTION("""COMPUTED_VALUE"""),0.005892740950906372)</f>
        <v>0.005892740951</v>
      </c>
      <c r="E16" s="70">
        <f>IFERROR(__xludf.DUMMYFUNCTION("""COMPUTED_VALUE"""),0.005228744338642995)</f>
        <v>0.005228744339</v>
      </c>
      <c r="F16" s="70">
        <f>IFERROR(__xludf.DUMMYFUNCTION("""COMPUTED_VALUE"""),0.004191634269092538)</f>
        <v>0.004191634269</v>
      </c>
      <c r="G16" s="70">
        <f>IFERROR(__xludf.DUMMYFUNCTION("""COMPUTED_VALUE"""),0.0036667709331306224)</f>
        <v>0.003666770933</v>
      </c>
      <c r="H16" s="70">
        <f>IFERROR(__xludf.DUMMYFUNCTION("""COMPUTED_VALUE"""),0.004419816934900132)</f>
        <v>0.004419816935</v>
      </c>
      <c r="I16" s="70">
        <f>IFERROR(__xludf.DUMMYFUNCTION("""COMPUTED_VALUE"""),0.0035625440591587343)</f>
        <v>0.003562544059</v>
      </c>
      <c r="J16" s="70">
        <f>IFERROR(__xludf.DUMMYFUNCTION("""COMPUTED_VALUE"""),0.005481098014747891)</f>
        <v>0.005481098015</v>
      </c>
      <c r="K16" s="70">
        <f>IFERROR(__xludf.DUMMYFUNCTION("""COMPUTED_VALUE"""),0.005051891703201044)</f>
        <v>0.005051891703</v>
      </c>
      <c r="L16" s="70">
        <f>IFERROR(__xludf.DUMMYFUNCTION("""COMPUTED_VALUE"""),0.005051891703201044)</f>
        <v>0.005051891703</v>
      </c>
      <c r="M16" s="70">
        <f>IFERROR(__xludf.DUMMYFUNCTION("""COMPUTED_VALUE"""),0.0052790383446594214)</f>
        <v>0.005279038345</v>
      </c>
      <c r="N16" s="70">
        <f>IFERROR(__xludf.DUMMYFUNCTION("""COMPUTED_VALUE"""),0.003479143014203959)</f>
        <v>0.003479143014</v>
      </c>
      <c r="O16" s="70">
        <f>IFERROR(__xludf.DUMMYFUNCTION("""COMPUTED_VALUE"""),0.0037044573942850803)</f>
        <v>0.003704457394</v>
      </c>
      <c r="P16" s="70">
        <f>IFERROR(__xludf.DUMMYFUNCTION("""COMPUTED_VALUE"""),0.005066814319092864)</f>
        <v>0.005066814319</v>
      </c>
      <c r="Q16" s="70">
        <f>IFERROR(__xludf.DUMMYFUNCTION("""COMPUTED_VALUE"""),0.0035625440591587343)</f>
        <v>0.003562544059</v>
      </c>
      <c r="R16" s="70">
        <f>IFERROR(__xludf.DUMMYFUNCTION("""COMPUTED_VALUE"""),0.006177390226114448)</f>
        <v>0.006177390226</v>
      </c>
      <c r="S16" s="70">
        <f>IFERROR(__xludf.DUMMYFUNCTION("""COMPUTED_VALUE"""),0.004388472314889902)</f>
        <v>0.004388472315</v>
      </c>
      <c r="T16" s="70">
        <f>IFERROR(__xludf.DUMMYFUNCTION("""COMPUTED_VALUE"""),0.004051313168214946)</f>
        <v>0.004051313168</v>
      </c>
      <c r="U16" s="70">
        <f>IFERROR(__xludf.DUMMYFUNCTION("""COMPUTED_VALUE"""),0.004541146818000054)</f>
        <v>0.004541146818</v>
      </c>
      <c r="V16" s="70">
        <f>IFERROR(__xludf.DUMMYFUNCTION("""COMPUTED_VALUE"""),0.004228270520815809)</f>
        <v>0.004228270521</v>
      </c>
      <c r="W16" s="70">
        <f>IFERROR(__xludf.DUMMYFUNCTION("""COMPUTED_VALUE"""),0.0069291150208614215)</f>
        <v>0.006929115021</v>
      </c>
      <c r="X16" s="70">
        <f>IFERROR(__xludf.DUMMYFUNCTION("""COMPUTED_VALUE"""),0.00524820705259523)</f>
        <v>0.005248207053</v>
      </c>
      <c r="Y16" s="70">
        <f>IFERROR(__xludf.DUMMYFUNCTION("""COMPUTED_VALUE"""),0.006354493806482623)</f>
        <v>0.006354493806</v>
      </c>
      <c r="Z16" s="70">
        <f>IFERROR(__xludf.DUMMYFUNCTION("""COMPUTED_VALUE"""),0.005532414996199815)</f>
        <v>0.005532414996</v>
      </c>
      <c r="AA16" s="70">
        <f>IFERROR(__xludf.DUMMYFUNCTION("""COMPUTED_VALUE"""),0.004331900249675865)</f>
        <v>0.00433190025</v>
      </c>
      <c r="AB16" s="70">
        <f>IFERROR(__xludf.DUMMYFUNCTION("""COMPUTED_VALUE"""),0.004320676130179723)</f>
        <v>0.00432067613</v>
      </c>
      <c r="AC16" s="70">
        <f>IFERROR(__xludf.DUMMYFUNCTION("""COMPUTED_VALUE"""),0.0033009667378390483)</f>
        <v>0.003300966738</v>
      </c>
    </row>
    <row r="17" ht="30.0" customHeight="1">
      <c r="A17" s="64" t="str">
        <f>IFERROR(__xludf.DUMMYFUNCTION("""COMPUTED_VALUE"""),"Impact 16事件機率")</f>
        <v>Impact 16事件機率</v>
      </c>
      <c r="B17" s="67" t="str">
        <f t="shared" si="1"/>
        <v>0.015%</v>
      </c>
      <c r="C17" s="69">
        <f>IFERROR(__xludf.DUMMYFUNCTION("""COMPUTED_VALUE"""),2.4342658000366268E-4)</f>
        <v>0.00024342658</v>
      </c>
      <c r="D17" s="69">
        <f>IFERROR(__xludf.DUMMYFUNCTION("""COMPUTED_VALUE"""),1.5295407731884302E-4)</f>
        <v>0.0001529540773</v>
      </c>
      <c r="E17" s="69">
        <f>IFERROR(__xludf.DUMMYFUNCTION("""COMPUTED_VALUE"""),1.7539331993064847E-4)</f>
        <v>0.0001753933199</v>
      </c>
      <c r="F17" s="69">
        <f>IFERROR(__xludf.DUMMYFUNCTION("""COMPUTED_VALUE"""),1.217030820195499E-4)</f>
        <v>0.000121703082</v>
      </c>
      <c r="G17" s="69">
        <f>IFERROR(__xludf.DUMMYFUNCTION("""COMPUTED_VALUE"""),1.1509194277462291E-4)</f>
        <v>0.0001150919428</v>
      </c>
      <c r="H17" s="69">
        <f>IFERROR(__xludf.DUMMYFUNCTION("""COMPUTED_VALUE"""),1.419294898232083E-4)</f>
        <v>0.0001419294898</v>
      </c>
      <c r="I17" s="69">
        <f>IFERROR(__xludf.DUMMYFUNCTION("""COMPUTED_VALUE"""),9.692954820614535E-5)</f>
        <v>0.00009692954821</v>
      </c>
      <c r="J17" s="69">
        <f>IFERROR(__xludf.DUMMYFUNCTION("""COMPUTED_VALUE"""),1.9497483151892353E-4)</f>
        <v>0.0001949748315</v>
      </c>
      <c r="K17" s="69">
        <f>IFERROR(__xludf.DUMMYFUNCTION("""COMPUTED_VALUE"""),1.2665015844262888E-4)</f>
        <v>0.0001266501584</v>
      </c>
      <c r="L17" s="69">
        <f>IFERROR(__xludf.DUMMYFUNCTION("""COMPUTED_VALUE"""),1.2665015844262888E-4)</f>
        <v>0.0001266501584</v>
      </c>
      <c r="M17" s="69">
        <f>IFERROR(__xludf.DUMMYFUNCTION("""COMPUTED_VALUE"""),1.4096805632259673E-4)</f>
        <v>0.0001409680563</v>
      </c>
      <c r="N17" s="69">
        <f>IFERROR(__xludf.DUMMYFUNCTION("""COMPUTED_VALUE"""),1.1366850628149314E-4)</f>
        <v>0.0001136685063</v>
      </c>
      <c r="O17" s="69">
        <f>IFERROR(__xludf.DUMMYFUNCTION("""COMPUTED_VALUE"""),1.1331026873610228E-4)</f>
        <v>0.0001133102687</v>
      </c>
      <c r="P17" s="69">
        <f>IFERROR(__xludf.DUMMYFUNCTION("""COMPUTED_VALUE"""),1.6679599594903423E-4)</f>
        <v>0.0001667959959</v>
      </c>
      <c r="Q17" s="69">
        <f>IFERROR(__xludf.DUMMYFUNCTION("""COMPUTED_VALUE"""),9.692954820614535E-5)</f>
        <v>0.00009692954821</v>
      </c>
      <c r="R17" s="69">
        <f>IFERROR(__xludf.DUMMYFUNCTION("""COMPUTED_VALUE"""),2.0388754082173755E-4)</f>
        <v>0.0002038875408</v>
      </c>
      <c r="S17" s="69">
        <f>IFERROR(__xludf.DUMMYFUNCTION("""COMPUTED_VALUE"""),1.5977190653063012E-4)</f>
        <v>0.0001597719065</v>
      </c>
      <c r="T17" s="69">
        <f>IFERROR(__xludf.DUMMYFUNCTION("""COMPUTED_VALUE"""),9.870100906011097E-5)</f>
        <v>0.00009870100906</v>
      </c>
      <c r="U17" s="69">
        <f>IFERROR(__xludf.DUMMYFUNCTION("""COMPUTED_VALUE"""),1.6513962949869486E-4)</f>
        <v>0.0001651396295</v>
      </c>
      <c r="V17" s="69">
        <f>IFERROR(__xludf.DUMMYFUNCTION("""COMPUTED_VALUE"""),1.1584556516892945E-4)</f>
        <v>0.0001158455652</v>
      </c>
      <c r="W17" s="69">
        <f>IFERROR(__xludf.DUMMYFUNCTION("""COMPUTED_VALUE"""),2.204728499266735E-4)</f>
        <v>0.0002204728499</v>
      </c>
      <c r="X17" s="69">
        <f>IFERROR(__xludf.DUMMYFUNCTION("""COMPUTED_VALUE"""),1.5982927618354427E-4)</f>
        <v>0.0001598292762</v>
      </c>
      <c r="Y17" s="69">
        <f>IFERROR(__xludf.DUMMYFUNCTION("""COMPUTED_VALUE"""),1.8862243200555592E-4)</f>
        <v>0.000188622432</v>
      </c>
      <c r="Z17" s="69">
        <f>IFERROR(__xludf.DUMMYFUNCTION("""COMPUTED_VALUE"""),1.8682918314706637E-4)</f>
        <v>0.0001868291831</v>
      </c>
      <c r="AA17" s="69">
        <f>IFERROR(__xludf.DUMMYFUNCTION("""COMPUTED_VALUE"""),1.5920841617361923E-4)</f>
        <v>0.0001592084162</v>
      </c>
      <c r="AB17" s="69">
        <f>IFERROR(__xludf.DUMMYFUNCTION("""COMPUTED_VALUE"""),1.0526342352807322E-4)</f>
        <v>0.0001052634235</v>
      </c>
      <c r="AC17" s="69">
        <f>IFERROR(__xludf.DUMMYFUNCTION("""COMPUTED_VALUE"""),1.1874046615238449E-4)</f>
        <v>0.0001187404662</v>
      </c>
    </row>
    <row r="18" ht="30.0" customHeight="1">
      <c r="A18" s="64" t="str">
        <f>IFERROR(__xludf.DUMMYFUNCTION("""COMPUTED_VALUE"""),"Impact 17事件機率")</f>
        <v>Impact 17事件機率</v>
      </c>
      <c r="B18" s="67" t="str">
        <f t="shared" si="1"/>
        <v>0.010%</v>
      </c>
      <c r="C18" s="70">
        <f>IFERROR(__xludf.DUMMYFUNCTION("""COMPUTED_VALUE"""),1.6552855617297754E-4)</f>
        <v>0.0001655285562</v>
      </c>
      <c r="D18" s="70">
        <f>IFERROR(__xludf.DUMMYFUNCTION("""COMPUTED_VALUE"""),1.0299589150692342E-4)</f>
        <v>0.0001029958915</v>
      </c>
      <c r="E18" s="70">
        <f>IFERROR(__xludf.DUMMYFUNCTION("""COMPUTED_VALUE"""),1.1878288996932792E-4)</f>
        <v>0.00011878289</v>
      </c>
      <c r="F18" s="70">
        <f>IFERROR(__xludf.DUMMYFUNCTION("""COMPUTED_VALUE"""),8.234573910312256E-5)</f>
        <v>0.0000823457391</v>
      </c>
      <c r="G18" s="70">
        <f>IFERROR(__xludf.DUMMYFUNCTION("""COMPUTED_VALUE"""),7.791064570025073E-5)</f>
        <v>0.0000779106457</v>
      </c>
      <c r="H18" s="70">
        <f>IFERROR(__xludf.DUMMYFUNCTION("""COMPUTED_VALUE"""),9.609708073599588E-5)</f>
        <v>0.00009609708074</v>
      </c>
      <c r="I18" s="70">
        <f>IFERROR(__xludf.DUMMYFUNCTION("""COMPUTED_VALUE"""),6.555126323756853E-5)</f>
        <v>0.00006555126324</v>
      </c>
      <c r="J18" s="70">
        <f>IFERROR(__xludf.DUMMYFUNCTION("""COMPUTED_VALUE"""),1.3210978770469543E-4)</f>
        <v>0.0001321097877</v>
      </c>
      <c r="K18" s="70">
        <f>IFERROR(__xludf.DUMMYFUNCTION("""COMPUTED_VALUE"""),8.611224608573742E-5)</f>
        <v>0.00008611224609</v>
      </c>
      <c r="L18" s="70">
        <f>IFERROR(__xludf.DUMMYFUNCTION("""COMPUTED_VALUE"""),8.611224608573742E-5)</f>
        <v>0.00008611224609</v>
      </c>
      <c r="M18" s="70">
        <f>IFERROR(__xludf.DUMMYFUNCTION("""COMPUTED_VALUE"""),9.496422816538621E-5)</f>
        <v>0.00009496422817</v>
      </c>
      <c r="N18" s="70">
        <f>IFERROR(__xludf.DUMMYFUNCTION("""COMPUTED_VALUE"""),7.728807219816331E-5)</f>
        <v>0.0000772880722</v>
      </c>
      <c r="O18" s="70">
        <f>IFERROR(__xludf.DUMMYFUNCTION("""COMPUTED_VALUE"""),7.66552309551384E-5)</f>
        <v>0.00007665523096</v>
      </c>
      <c r="P18" s="70">
        <f>IFERROR(__xludf.DUMMYFUNCTION("""COMPUTED_VALUE"""),1.1402644200711428E-4)</f>
        <v>0.000114026442</v>
      </c>
      <c r="Q18" s="70">
        <f>IFERROR(__xludf.DUMMYFUNCTION("""COMPUTED_VALUE"""),6.555126323756853E-5)</f>
        <v>0.00006555126324</v>
      </c>
      <c r="R18" s="70">
        <f>IFERROR(__xludf.DUMMYFUNCTION("""COMPUTED_VALUE"""),1.3730345962920224E-4)</f>
        <v>0.0001373034596</v>
      </c>
      <c r="S18" s="70">
        <f>IFERROR(__xludf.DUMMYFUNCTION("""COMPUTED_VALUE"""),1.0763936393366627E-4)</f>
        <v>0.0001076393639</v>
      </c>
      <c r="T18" s="70">
        <f>IFERROR(__xludf.DUMMYFUNCTION("""COMPUTED_VALUE"""),6.698823801527696E-5)</f>
        <v>0.00006698823802</v>
      </c>
      <c r="U18" s="70">
        <f>IFERROR(__xludf.DUMMYFUNCTION("""COMPUTED_VALUE"""),1.1304307687737206E-4)</f>
        <v>0.0001130430769</v>
      </c>
      <c r="V18" s="70">
        <f>IFERROR(__xludf.DUMMYFUNCTION("""COMPUTED_VALUE"""),7.825544367200211E-5)</f>
        <v>0.00007825544367</v>
      </c>
      <c r="W18" s="70">
        <f>IFERROR(__xludf.DUMMYFUNCTION("""COMPUTED_VALUE"""),1.4997901455497353E-4)</f>
        <v>0.0001499790146</v>
      </c>
      <c r="X18" s="70">
        <f>IFERROR(__xludf.DUMMYFUNCTION("""COMPUTED_VALUE"""),1.0795867390360975E-4)</f>
        <v>0.0001079586739</v>
      </c>
      <c r="Y18" s="70">
        <f>IFERROR(__xludf.DUMMYFUNCTION("""COMPUTED_VALUE"""),1.2894721046615188E-4)</f>
        <v>0.0001289472105</v>
      </c>
      <c r="Z18" s="70">
        <f>IFERROR(__xludf.DUMMYFUNCTION("""COMPUTED_VALUE"""),1.2611195061905826E-4)</f>
        <v>0.0001261119506</v>
      </c>
      <c r="AA18" s="70">
        <f>IFERROR(__xludf.DUMMYFUNCTION("""COMPUTED_VALUE"""),1.072200150474116E-4)</f>
        <v>0.000107220015</v>
      </c>
      <c r="AB18" s="70">
        <f>IFERROR(__xludf.DUMMYFUNCTION("""COMPUTED_VALUE"""),7.144213961690198E-5)</f>
        <v>0.00007144213962</v>
      </c>
      <c r="AC18" s="70">
        <f>IFERROR(__xludf.DUMMYFUNCTION("""COMPUTED_VALUE"""),8.095379604345745E-5)</f>
        <v>0.00008095379604</v>
      </c>
    </row>
    <row r="19" ht="30.0" customHeight="1">
      <c r="A19" s="64" t="str">
        <f>IFERROR(__xludf.DUMMYFUNCTION("""COMPUTED_VALUE"""),"Impact 18事件機率")</f>
        <v>Impact 18事件機率</v>
      </c>
      <c r="B19" s="67" t="str">
        <f t="shared" si="1"/>
        <v>0.006%</v>
      </c>
      <c r="C19" s="69">
        <f>IFERROR(__xludf.DUMMYFUNCTION("""COMPUTED_VALUE"""),9.822386311988139E-5)</f>
        <v>0.00009822386312</v>
      </c>
      <c r="D19" s="69">
        <f>IFERROR(__xludf.DUMMYFUNCTION("""COMPUTED_VALUE"""),6.109296405394757E-5)</f>
        <v>0.00006109296405</v>
      </c>
      <c r="E19" s="69">
        <f>IFERROR(__xludf.DUMMYFUNCTION("""COMPUTED_VALUE"""),7.074635276636753E-5)</f>
        <v>0.00007074635277</v>
      </c>
      <c r="F19" s="69">
        <f>IFERROR(__xludf.DUMMYFUNCTION("""COMPUTED_VALUE"""),4.844268748509715E-5)</f>
        <v>0.00004844268749</v>
      </c>
      <c r="G19" s="69">
        <f>IFERROR(__xludf.DUMMYFUNCTION("""COMPUTED_VALUE"""),4.618862386711857E-5)</f>
        <v>0.00004618862387</v>
      </c>
      <c r="H19" s="69">
        <f>IFERROR(__xludf.DUMMYFUNCTION("""COMPUTED_VALUE"""),5.702428489071686E-5)</f>
        <v>0.00005702428489</v>
      </c>
      <c r="I19" s="69">
        <f>IFERROR(__xludf.DUMMYFUNCTION("""COMPUTED_VALUE"""),3.916693669327584E-5)</f>
        <v>0.00003916693669</v>
      </c>
      <c r="J19" s="69">
        <f>IFERROR(__xludf.DUMMYFUNCTION("""COMPUTED_VALUE"""),7.768556569683367E-5)</f>
        <v>0.0000776855657</v>
      </c>
      <c r="K19" s="69">
        <f>IFERROR(__xludf.DUMMYFUNCTION("""COMPUTED_VALUE"""),5.1097484312859425E-5)</f>
        <v>0.00005109748431</v>
      </c>
      <c r="L19" s="69">
        <f>IFERROR(__xludf.DUMMYFUNCTION("""COMPUTED_VALUE"""),5.1097484312859425E-5)</f>
        <v>0.00005109748431</v>
      </c>
      <c r="M19" s="69">
        <f>IFERROR(__xludf.DUMMYFUNCTION("""COMPUTED_VALUE"""),5.6170690771016856E-5)</f>
        <v>0.00005617069077</v>
      </c>
      <c r="N19" s="69">
        <f>IFERROR(__xludf.DUMMYFUNCTION("""COMPUTED_VALUE"""),4.562686526769731E-5)</f>
        <v>0.00004562686527</v>
      </c>
      <c r="O19" s="69">
        <f>IFERROR(__xludf.DUMMYFUNCTION("""COMPUTED_VALUE"""),4.540046587728474E-5)</f>
        <v>0.00004540046588</v>
      </c>
      <c r="P19" s="69">
        <f>IFERROR(__xludf.DUMMYFUNCTION("""COMPUTED_VALUE"""),6.773730268826197E-5)</f>
        <v>0.00006773730269</v>
      </c>
      <c r="Q19" s="69">
        <f>IFERROR(__xludf.DUMMYFUNCTION("""COMPUTED_VALUE"""),3.916693669327584E-5)</f>
        <v>0.00003916693669</v>
      </c>
      <c r="R19" s="69">
        <f>IFERROR(__xludf.DUMMYFUNCTION("""COMPUTED_VALUE"""),8.136016560008433E-5)</f>
        <v>0.0000813601656</v>
      </c>
      <c r="S19" s="69">
        <f>IFERROR(__xludf.DUMMYFUNCTION("""COMPUTED_VALUE"""),6.350039880837036E-5)</f>
        <v>0.00006350039881</v>
      </c>
      <c r="T19" s="69">
        <f>IFERROR(__xludf.DUMMYFUNCTION("""COMPUTED_VALUE"""),3.973478314390383E-5)</f>
        <v>0.00003973478314</v>
      </c>
      <c r="U19" s="69">
        <f>IFERROR(__xludf.DUMMYFUNCTION("""COMPUTED_VALUE"""),6.752895699756836E-5)</f>
        <v>0.000067528957</v>
      </c>
      <c r="V19" s="69">
        <f>IFERROR(__xludf.DUMMYFUNCTION("""COMPUTED_VALUE"""),4.611694201243461E-5)</f>
        <v>0.00004611694201</v>
      </c>
      <c r="W19" s="69">
        <f>IFERROR(__xludf.DUMMYFUNCTION("""COMPUTED_VALUE"""),8.868431718958556E-5)</f>
        <v>0.00008868431719</v>
      </c>
      <c r="X19" s="69">
        <f>IFERROR(__xludf.DUMMYFUNCTION("""COMPUTED_VALUE"""),6.397310071346292E-5)</f>
        <v>0.00006397310071</v>
      </c>
      <c r="Y19" s="69">
        <f>IFERROR(__xludf.DUMMYFUNCTION("""COMPUTED_VALUE"""),7.683923493162877E-5)</f>
        <v>0.00007683923493</v>
      </c>
      <c r="Z19" s="69">
        <f>IFERROR(__xludf.DUMMYFUNCTION("""COMPUTED_VALUE"""),7.459191885043773E-5)</f>
        <v>0.00007459191885</v>
      </c>
      <c r="AA19" s="69">
        <f>IFERROR(__xludf.DUMMYFUNCTION("""COMPUTED_VALUE"""),6.318477548827576E-5)</f>
        <v>0.00006318477549</v>
      </c>
      <c r="AB19" s="69">
        <f>IFERROR(__xludf.DUMMYFUNCTION("""COMPUTED_VALUE"""),4.237666206964105E-5)</f>
        <v>0.00004237666207</v>
      </c>
      <c r="AC19" s="69">
        <f>IFERROR(__xludf.DUMMYFUNCTION("""COMPUTED_VALUE"""),4.825860069833005E-5)</f>
        <v>0.0000482586007</v>
      </c>
    </row>
    <row r="20" ht="30.0" customHeight="1">
      <c r="A20" s="64" t="str">
        <f>IFERROR(__xludf.DUMMYFUNCTION("""COMPUTED_VALUE"""),"Impact 19事件機率")</f>
        <v>Impact 19事件機率</v>
      </c>
      <c r="B20" s="67" t="str">
        <f t="shared" si="1"/>
        <v>0.007%</v>
      </c>
      <c r="C20" s="70">
        <f>IFERROR(__xludf.DUMMYFUNCTION("""COMPUTED_VALUE"""),1.0801007329774239E-4)</f>
        <v>0.0001080100733</v>
      </c>
      <c r="D20" s="70">
        <f>IFERROR(__xludf.DUMMYFUNCTION("""COMPUTED_VALUE"""),6.707260071718621E-5)</f>
        <v>0.00006707260072</v>
      </c>
      <c r="E20" s="70">
        <f>IFERROR(__xludf.DUMMYFUNCTION("""COMPUTED_VALUE"""),7.760000191721197E-5)</f>
        <v>0.00007760000192</v>
      </c>
      <c r="F20" s="70">
        <f>IFERROR(__xludf.DUMMYFUNCTION("""COMPUTED_VALUE"""),5.301377135183487E-5)</f>
        <v>0.00005301377135</v>
      </c>
      <c r="G20" s="70">
        <f>IFERROR(__xludf.DUMMYFUNCTION("""COMPUTED_VALUE"""),5.0621135780246085E-5)</f>
        <v>0.00005062113578</v>
      </c>
      <c r="H20" s="70">
        <f>IFERROR(__xludf.DUMMYFUNCTION("""COMPUTED_VALUE"""),6.241938915200004E-5)</f>
        <v>0.00006241938915</v>
      </c>
      <c r="I20" s="70">
        <f>IFERROR(__xludf.DUMMYFUNCTION("""COMPUTED_VALUE"""),4.291381188943414E-5)</f>
        <v>0.00004291381189</v>
      </c>
      <c r="J20" s="70">
        <f>IFERROR(__xludf.DUMMYFUNCTION("""COMPUTED_VALUE"""),8.496497502953295E-5)</f>
        <v>0.00008496497503</v>
      </c>
      <c r="K20" s="70">
        <f>IFERROR(__xludf.DUMMYFUNCTION("""COMPUTED_VALUE"""),5.6220996600671394E-5)</f>
        <v>0.0000562209966</v>
      </c>
      <c r="L20" s="70">
        <f>IFERROR(__xludf.DUMMYFUNCTION("""COMPUTED_VALUE"""),5.6220996600671394E-5)</f>
        <v>0.0000562209966</v>
      </c>
      <c r="M20" s="70">
        <f>IFERROR(__xludf.DUMMYFUNCTION("""COMPUTED_VALUE"""),6.159498813703692E-5)</f>
        <v>0.00006159498814</v>
      </c>
      <c r="N20" s="70">
        <f>IFERROR(__xludf.DUMMYFUNCTION("""COMPUTED_VALUE"""),5.020384517540889E-5)</f>
        <v>0.00005020384518</v>
      </c>
      <c r="O20" s="70">
        <f>IFERROR(__xludf.DUMMYFUNCTION("""COMPUTED_VALUE"""),4.980267818244506E-5)</f>
        <v>0.00004980267818</v>
      </c>
      <c r="P20" s="70">
        <f>IFERROR(__xludf.DUMMYFUNCTION("""COMPUTED_VALUE"""),7.474647093196983E-5)</f>
        <v>0.00007474647093</v>
      </c>
      <c r="Q20" s="70">
        <f>IFERROR(__xludf.DUMMYFUNCTION("""COMPUTED_VALUE"""),4.291381188943414E-5)</f>
        <v>0.00004291381189</v>
      </c>
      <c r="R20" s="70">
        <f>IFERROR(__xludf.DUMMYFUNCTION("""COMPUTED_VALUE"""),8.938365331605687E-5)</f>
        <v>0.00008938365332</v>
      </c>
      <c r="S20" s="70">
        <f>IFERROR(__xludf.DUMMYFUNCTION("""COMPUTED_VALUE"""),6.981428383359174E-5)</f>
        <v>0.00006981428383</v>
      </c>
      <c r="T20" s="70">
        <f>IFERROR(__xludf.DUMMYFUNCTION("""COMPUTED_VALUE"""),4.362972048658209E-5)</f>
        <v>0.00004362972049</v>
      </c>
      <c r="U20" s="70">
        <f>IFERROR(__xludf.DUMMYFUNCTION("""COMPUTED_VALUE"""),7.410864852540889E-5)</f>
        <v>0.00007410864853</v>
      </c>
      <c r="V20" s="70">
        <f>IFERROR(__xludf.DUMMYFUNCTION("""COMPUTED_VALUE"""),5.048934286573338E-5)</f>
        <v>0.00005048934287</v>
      </c>
      <c r="W20" s="70">
        <f>IFERROR(__xludf.DUMMYFUNCTION("""COMPUTED_VALUE"""),9.711599577797673E-5)</f>
        <v>0.00009711599578</v>
      </c>
      <c r="X20" s="70">
        <f>IFERROR(__xludf.DUMMYFUNCTION("""COMPUTED_VALUE"""),6.997442890016662E-5)</f>
        <v>0.0000699744289</v>
      </c>
      <c r="Y20" s="70">
        <f>IFERROR(__xludf.DUMMYFUNCTION("""COMPUTED_VALUE"""),8.428877857325988E-5)</f>
        <v>0.00008428877857</v>
      </c>
      <c r="Z20" s="70">
        <f>IFERROR(__xludf.DUMMYFUNCTION("""COMPUTED_VALUE"""),8.162412943750679E-5)</f>
        <v>0.00008162412944</v>
      </c>
      <c r="AA20" s="70">
        <f>IFERROR(__xludf.DUMMYFUNCTION("""COMPUTED_VALUE"""),6.954172552916953E-5)</f>
        <v>0.00006954172553</v>
      </c>
      <c r="AB20" s="70">
        <f>IFERROR(__xludf.DUMMYFUNCTION("""COMPUTED_VALUE"""),4.653056528726662E-5)</f>
        <v>0.00004653056529</v>
      </c>
      <c r="AC20" s="70">
        <f>IFERROR(__xludf.DUMMYFUNCTION("""COMPUTED_VALUE"""),5.294318423484561E-5)</f>
        <v>0.00005294318423</v>
      </c>
    </row>
    <row r="21" ht="30.0" customHeight="1">
      <c r="A21" s="64" t="str">
        <f>IFERROR(__xludf.DUMMYFUNCTION("""COMPUTED_VALUE"""),"Impact 20事件機率")</f>
        <v>Impact 20事件機率</v>
      </c>
      <c r="B21" s="67" t="str">
        <f t="shared" si="1"/>
        <v>0.036%</v>
      </c>
      <c r="C21" s="69">
        <f>IFERROR(__xludf.DUMMYFUNCTION("""COMPUTED_VALUE"""),5.91801703314568E-4)</f>
        <v>0.0005918017033</v>
      </c>
      <c r="D21" s="69">
        <f>IFERROR(__xludf.DUMMYFUNCTION("""COMPUTED_VALUE"""),3.7108408096855135E-4)</f>
        <v>0.000371084081</v>
      </c>
      <c r="E21" s="69">
        <f>IFERROR(__xludf.DUMMYFUNCTION("""COMPUTED_VALUE"""),4.2648529645939625E-4)</f>
        <v>0.0004264852965</v>
      </c>
      <c r="F21" s="69">
        <f>IFERROR(__xludf.DUMMYFUNCTION("""COMPUTED_VALUE"""),2.948703258281673E-4)</f>
        <v>0.0002948703258</v>
      </c>
      <c r="G21" s="69">
        <f>IFERROR(__xludf.DUMMYFUNCTION("""COMPUTED_VALUE"""),2.7979990993615215E-4)</f>
        <v>0.0002797999099</v>
      </c>
      <c r="H21" s="69">
        <f>IFERROR(__xludf.DUMMYFUNCTION("""COMPUTED_VALUE"""),3.4487625062434743E-4)</f>
        <v>0.0003448762506</v>
      </c>
      <c r="I21" s="69">
        <f>IFERROR(__xludf.DUMMYFUNCTION("""COMPUTED_VALUE"""),2.355894727080976E-4)</f>
        <v>0.0002355894727</v>
      </c>
      <c r="J21" s="69">
        <f>IFERROR(__xludf.DUMMYFUNCTION("""COMPUTED_VALUE"""),4.714024561413149E-4)</f>
        <v>0.0004714024561</v>
      </c>
      <c r="K21" s="69">
        <f>IFERROR(__xludf.DUMMYFUNCTION("""COMPUTED_VALUE"""),3.077748579009224E-4)</f>
        <v>0.0003077748579</v>
      </c>
      <c r="L21" s="69">
        <f>IFERROR(__xludf.DUMMYFUNCTION("""COMPUTED_VALUE"""),3.077748579009224E-4)</f>
        <v>0.0003077748579</v>
      </c>
      <c r="M21" s="69">
        <f>IFERROR(__xludf.DUMMYFUNCTION("""COMPUTED_VALUE"""),3.415499101494302E-4)</f>
        <v>0.0003415499101</v>
      </c>
      <c r="N21" s="69">
        <f>IFERROR(__xludf.DUMMYFUNCTION("""COMPUTED_VALUE"""),2.761761751907716E-4)</f>
        <v>0.0002761761752</v>
      </c>
      <c r="O21" s="69">
        <f>IFERROR(__xludf.DUMMYFUNCTION("""COMPUTED_VALUE"""),2.75092678830845E-4)</f>
        <v>0.0002750926788</v>
      </c>
      <c r="P21" s="69">
        <f>IFERROR(__xludf.DUMMYFUNCTION("""COMPUTED_VALUE"""),4.06712396635227E-4)</f>
        <v>0.0004067123966</v>
      </c>
      <c r="Q21" s="69">
        <f>IFERROR(__xludf.DUMMYFUNCTION("""COMPUTED_VALUE"""),2.355894727080976E-4)</f>
        <v>0.0002355894727</v>
      </c>
      <c r="R21" s="69">
        <f>IFERROR(__xludf.DUMMYFUNCTION("""COMPUTED_VALUE"""),4.940448236730409E-4)</f>
        <v>0.0004940448237</v>
      </c>
      <c r="S21" s="69">
        <f>IFERROR(__xludf.DUMMYFUNCTION("""COMPUTED_VALUE"""),3.8702961754585733E-4)</f>
        <v>0.0003870296175</v>
      </c>
      <c r="T21" s="69">
        <f>IFERROR(__xludf.DUMMYFUNCTION("""COMPUTED_VALUE"""),2.399092571146111E-4)</f>
        <v>0.0002399092571</v>
      </c>
      <c r="U21" s="69">
        <f>IFERROR(__xludf.DUMMYFUNCTION("""COMPUTED_VALUE"""),4.0299560577579624E-4)</f>
        <v>0.0004029956058</v>
      </c>
      <c r="V21" s="69">
        <f>IFERROR(__xludf.DUMMYFUNCTION("""COMPUTED_VALUE"""),2.8072608610946897E-4)</f>
        <v>0.0002807260861</v>
      </c>
      <c r="W21" s="69">
        <f>IFERROR(__xludf.DUMMYFUNCTION("""COMPUTED_VALUE"""),5.361470474638655E-4)</f>
        <v>0.0005361470475</v>
      </c>
      <c r="X21" s="69">
        <f>IFERROR(__xludf.DUMMYFUNCTION("""COMPUTED_VALUE"""),3.879796989719859E-4)</f>
        <v>0.000387979699</v>
      </c>
      <c r="Y21" s="69">
        <f>IFERROR(__xludf.DUMMYFUNCTION("""COMPUTED_VALUE"""),4.590917330495865E-4)</f>
        <v>0.000459091733</v>
      </c>
      <c r="Z21" s="69">
        <f>IFERROR(__xludf.DUMMYFUNCTION("""COMPUTED_VALUE"""),4.522757135159085E-4)</f>
        <v>0.0004522757135</v>
      </c>
      <c r="AA21" s="69">
        <f>IFERROR(__xludf.DUMMYFUNCTION("""COMPUTED_VALUE"""),3.8563150821978954E-4)</f>
        <v>0.0003856315082</v>
      </c>
      <c r="AB21" s="69">
        <f>IFERROR(__xludf.DUMMYFUNCTION("""COMPUTED_VALUE"""),2.5586029950900246E-4)</f>
        <v>0.0002558602995</v>
      </c>
      <c r="AC21" s="69">
        <f>IFERROR(__xludf.DUMMYFUNCTION("""COMPUTED_VALUE"""),2.8926523283105205E-4)</f>
        <v>0.0002892652328</v>
      </c>
    </row>
    <row r="22" ht="30.0" customHeight="1">
      <c r="A22" s="64" t="str">
        <f>IFERROR(__xludf.DUMMYFUNCTION("""COMPUTED_VALUE"""),"Impact 21事件機率")</f>
        <v>Impact 21事件機率</v>
      </c>
      <c r="B22" s="67" t="str">
        <f t="shared" si="1"/>
        <v>0.025%</v>
      </c>
      <c r="C22" s="70">
        <f>IFERROR(__xludf.DUMMYFUNCTION("""COMPUTED_VALUE"""),4.023854030388062E-4)</f>
        <v>0.000402385403</v>
      </c>
      <c r="D22" s="70">
        <f>IFERROR(__xludf.DUMMYFUNCTION("""COMPUTED_VALUE"""),2.499726140016015E-4)</f>
        <v>0.000249972614</v>
      </c>
      <c r="E22" s="70">
        <f>IFERROR(__xludf.DUMMYFUNCTION("""COMPUTED_VALUE"""),2.888563342546802E-4)</f>
        <v>0.0002888563343</v>
      </c>
      <c r="F22" s="70">
        <f>IFERROR(__xludf.DUMMYFUNCTION("""COMPUTED_VALUE"""),1.9946903668638152E-4)</f>
        <v>0.0001994690367</v>
      </c>
      <c r="G22" s="70">
        <f>IFERROR(__xludf.DUMMYFUNCTION("""COMPUTED_VALUE"""),1.8942678612936335E-4)</f>
        <v>0.0001894267861</v>
      </c>
      <c r="H22" s="70">
        <f>IFERROR(__xludf.DUMMYFUNCTION("""COMPUTED_VALUE"""),2.3350087329485108E-4)</f>
        <v>0.0002335008733</v>
      </c>
      <c r="I22" s="70">
        <f>IFERROR(__xludf.DUMMYFUNCTION("""COMPUTED_VALUE"""),1.593192864350586E-4)</f>
        <v>0.0001593192864</v>
      </c>
      <c r="J22" s="70">
        <f>IFERROR(__xludf.DUMMYFUNCTION("""COMPUTED_VALUE"""),3.194443403714561E-4)</f>
        <v>0.0003194443404</v>
      </c>
      <c r="K22" s="70">
        <f>IFERROR(__xludf.DUMMYFUNCTION("""COMPUTED_VALUE"""),2.0927166260811627E-4)</f>
        <v>0.0002092716626</v>
      </c>
      <c r="L22" s="70">
        <f>IFERROR(__xludf.DUMMYFUNCTION("""COMPUTED_VALUE"""),2.0927166260811627E-4)</f>
        <v>0.0002092716626</v>
      </c>
      <c r="M22" s="70">
        <f>IFERROR(__xludf.DUMMYFUNCTION("""COMPUTED_VALUE"""),2.3014779204732667E-4)</f>
        <v>0.000230147792</v>
      </c>
      <c r="N22" s="70">
        <f>IFERROR(__xludf.DUMMYFUNCTION("""COMPUTED_VALUE"""),1.877963814765914E-4)</f>
        <v>0.0001877963815</v>
      </c>
      <c r="O22" s="70">
        <f>IFERROR(__xludf.DUMMYFUNCTION("""COMPUTED_VALUE"""),1.8282808413007742E-4)</f>
        <v>0.0001828280841</v>
      </c>
      <c r="P22" s="70">
        <f>IFERROR(__xludf.DUMMYFUNCTION("""COMPUTED_VALUE"""),2.7791079411714924E-4)</f>
        <v>0.0002779107941</v>
      </c>
      <c r="Q22" s="70">
        <f>IFERROR(__xludf.DUMMYFUNCTION("""COMPUTED_VALUE"""),1.593192864350586E-4)</f>
        <v>0.0001593192864</v>
      </c>
      <c r="R22" s="70">
        <f>IFERROR(__xludf.DUMMYFUNCTION("""COMPUTED_VALUE"""),3.327627372901959E-4)</f>
        <v>0.0003327627373</v>
      </c>
      <c r="S22" s="70">
        <f>IFERROR(__xludf.DUMMYFUNCTION("""COMPUTED_VALUE"""),2.606417612269546E-4)</f>
        <v>0.0002606417612</v>
      </c>
      <c r="T22" s="70">
        <f>IFERROR(__xludf.DUMMYFUNCTION("""COMPUTED_VALUE"""),1.6279573776755308E-4)</f>
        <v>0.0001627957378</v>
      </c>
      <c r="U22" s="70">
        <f>IFERROR(__xludf.DUMMYFUNCTION("""COMPUTED_VALUE"""),2.7573470752752444E-4)</f>
        <v>0.0002757347075</v>
      </c>
      <c r="V22" s="70">
        <f>IFERROR(__xludf.DUMMYFUNCTION("""COMPUTED_VALUE"""),1.8968719799129408E-4)</f>
        <v>0.000189687198</v>
      </c>
      <c r="W22" s="70">
        <f>IFERROR(__xludf.DUMMYFUNCTION("""COMPUTED_VALUE"""),3.6470511535930306E-4)</f>
        <v>0.0003647051154</v>
      </c>
      <c r="X22" s="70">
        <f>IFERROR(__xludf.DUMMYFUNCTION("""COMPUTED_VALUE"""),2.620387376861072E-4)</f>
        <v>0.0002620387377</v>
      </c>
      <c r="Y22" s="70">
        <f>IFERROR(__xludf.DUMMYFUNCTION("""COMPUTED_VALUE"""),3.137729010979723E-4)</f>
        <v>0.0003137729011</v>
      </c>
      <c r="Z22" s="70">
        <f>IFERROR(__xludf.DUMMYFUNCTION("""COMPUTED_VALUE"""),3.0530538341098847E-4)</f>
        <v>0.0003053053834</v>
      </c>
      <c r="AA22" s="70">
        <f>IFERROR(__xludf.DUMMYFUNCTION("""COMPUTED_VALUE"""),2.595437184055394E-4)</f>
        <v>0.0002595437184</v>
      </c>
      <c r="AB22" s="70">
        <f>IFERROR(__xludf.DUMMYFUNCTION("""COMPUTED_VALUE"""),1.736196707244885E-4)</f>
        <v>0.0001736196707</v>
      </c>
      <c r="AC22" s="70">
        <f>IFERROR(__xludf.DUMMYFUNCTION("""COMPUTED_VALUE"""),1.971654488275989E-4)</f>
        <v>0.0001971654488</v>
      </c>
    </row>
    <row r="23" ht="30.0" customHeight="1">
      <c r="A23" s="64" t="str">
        <f>IFERROR(__xludf.DUMMYFUNCTION("""COMPUTED_VALUE"""),"Impact 22事件機率")</f>
        <v>Impact 22事件機率</v>
      </c>
      <c r="B23" s="67" t="str">
        <f t="shared" si="1"/>
        <v>0.022%</v>
      </c>
      <c r="C23" s="69">
        <f>IFERROR(__xludf.DUMMYFUNCTION("""COMPUTED_VALUE"""),3.6445337194877244E-4)</f>
        <v>0.0003644533719</v>
      </c>
      <c r="D23" s="69">
        <f>IFERROR(__xludf.DUMMYFUNCTION("""COMPUTED_VALUE"""),2.2738155857202836E-4)</f>
        <v>0.0002273815586</v>
      </c>
      <c r="E23" s="69">
        <f>IFERROR(__xludf.DUMMYFUNCTION("""COMPUTED_VALUE"""),2.6169725791228357E-4)</f>
        <v>0.0002616972579</v>
      </c>
      <c r="F23" s="69">
        <f>IFERROR(__xludf.DUMMYFUNCTION("""COMPUTED_VALUE"""),1.8063722026355909E-4)</f>
        <v>0.0001806372203</v>
      </c>
      <c r="G23" s="69">
        <f>IFERROR(__xludf.DUMMYFUNCTION("""COMPUTED_VALUE"""),1.7162142480322786E-4)</f>
        <v>0.0001716214248</v>
      </c>
      <c r="H23" s="69">
        <f>IFERROR(__xludf.DUMMYFUNCTION("""COMPUTED_VALUE"""),2.117425351268136E-4)</f>
        <v>0.0002117425351</v>
      </c>
      <c r="I23" s="69">
        <f>IFERROR(__xludf.DUMMYFUNCTION("""COMPUTED_VALUE"""),1.448876199265936E-4)</f>
        <v>0.0001448876199</v>
      </c>
      <c r="J23" s="69">
        <f>IFERROR(__xludf.DUMMYFUNCTION("""COMPUTED_VALUE"""),2.904219427375555E-4)</f>
        <v>0.0002904219427</v>
      </c>
      <c r="K23" s="69">
        <f>IFERROR(__xludf.DUMMYFUNCTION("""COMPUTED_VALUE"""),1.8996576730954926E-4)</f>
        <v>0.0001899657673</v>
      </c>
      <c r="L23" s="69">
        <f>IFERROR(__xludf.DUMMYFUNCTION("""COMPUTED_VALUE"""),1.8996576730954926E-4)</f>
        <v>0.0001899657673</v>
      </c>
      <c r="M23" s="69">
        <f>IFERROR(__xludf.DUMMYFUNCTION("""COMPUTED_VALUE"""),2.0895089918338065E-4)</f>
        <v>0.0002089508992</v>
      </c>
      <c r="N23" s="69">
        <f>IFERROR(__xludf.DUMMYFUNCTION("""COMPUTED_VALUE"""),1.6919941408769364E-4)</f>
        <v>0.0001691994141</v>
      </c>
      <c r="O23" s="69">
        <f>IFERROR(__xludf.DUMMYFUNCTION("""COMPUTED_VALUE"""),1.6559329005601026E-4)</f>
        <v>0.0001655932901</v>
      </c>
      <c r="P23" s="69">
        <f>IFERROR(__xludf.DUMMYFUNCTION("""COMPUTED_VALUE"""),2.503537962837323E-4)</f>
        <v>0.0002503537963</v>
      </c>
      <c r="Q23" s="69">
        <f>IFERROR(__xludf.DUMMYFUNCTION("""COMPUTED_VALUE"""),1.448876199265936E-4)</f>
        <v>0.0001448876199</v>
      </c>
      <c r="R23" s="69">
        <f>IFERROR(__xludf.DUMMYFUNCTION("""COMPUTED_VALUE"""),3.0256909515411623E-4)</f>
        <v>0.0003025690952</v>
      </c>
      <c r="S23" s="69">
        <f>IFERROR(__xludf.DUMMYFUNCTION("""COMPUTED_VALUE"""),2.3733273183381185E-4)</f>
        <v>0.0002373327318</v>
      </c>
      <c r="T23" s="69">
        <f>IFERROR(__xludf.DUMMYFUNCTION("""COMPUTED_VALUE"""),1.474698693813236E-4)</f>
        <v>0.0001474698694</v>
      </c>
      <c r="U23" s="69">
        <f>IFERROR(__xludf.DUMMYFUNCTION("""COMPUTED_VALUE"""),2.48424102248698E-4)</f>
        <v>0.0002484241022</v>
      </c>
      <c r="V23" s="69">
        <f>IFERROR(__xludf.DUMMYFUNCTION("""COMPUTED_VALUE"""),1.7188053291019193E-4)</f>
        <v>0.0001718805329</v>
      </c>
      <c r="W23" s="69">
        <f>IFERROR(__xludf.DUMMYFUNCTION("""COMPUTED_VALUE"""),3.2933028468712914E-4)</f>
        <v>0.0003293302847</v>
      </c>
      <c r="X23" s="69">
        <f>IFERROR(__xludf.DUMMYFUNCTION("""COMPUTED_VALUE"""),2.379719104717585E-4)</f>
        <v>0.0002379719105</v>
      </c>
      <c r="Y23" s="69">
        <f>IFERROR(__xludf.DUMMYFUNCTION("""COMPUTED_VALUE"""),2.836270867767644E-4)</f>
        <v>0.0002836270868</v>
      </c>
      <c r="Z23" s="69">
        <f>IFERROR(__xludf.DUMMYFUNCTION("""COMPUTED_VALUE"""),2.782418264563349E-4)</f>
        <v>0.0002782418265</v>
      </c>
      <c r="AA23" s="69">
        <f>IFERROR(__xludf.DUMMYFUNCTION("""COMPUTED_VALUE"""),2.3616364731297566E-4)</f>
        <v>0.0002361636473</v>
      </c>
      <c r="AB23" s="69">
        <f>IFERROR(__xludf.DUMMYFUNCTION("""COMPUTED_VALUE"""),1.5727481883049402E-4)</f>
        <v>0.0001572748188</v>
      </c>
      <c r="AC23" s="69">
        <f>IFERROR(__xludf.DUMMYFUNCTION("""COMPUTED_VALUE"""),1.779944859771598E-4)</f>
        <v>0.000177994486</v>
      </c>
    </row>
    <row r="24" ht="30.0" customHeight="1">
      <c r="A24" s="64" t="str">
        <f>IFERROR(__xludf.DUMMYFUNCTION("""COMPUTED_VALUE"""),"Impact 23事件機率")</f>
        <v>Impact 23事件機率</v>
      </c>
      <c r="B24" s="67" t="str">
        <f t="shared" si="1"/>
        <v>0.024%</v>
      </c>
      <c r="C24" s="70">
        <f>IFERROR(__xludf.DUMMYFUNCTION("""COMPUTED_VALUE"""),4.00770010946988E-4)</f>
        <v>0.0004007700109</v>
      </c>
      <c r="D24" s="70">
        <f>IFERROR(__xludf.DUMMYFUNCTION("""COMPUTED_VALUE"""),2.495701981382364E-4)</f>
        <v>0.0002495701981</v>
      </c>
      <c r="E24" s="70">
        <f>IFERROR(__xludf.DUMMYFUNCTION("""COMPUTED_VALUE"""),2.86913836118972E-4)</f>
        <v>0.0002869138361</v>
      </c>
      <c r="F24" s="70">
        <f>IFERROR(__xludf.DUMMYFUNCTION("""COMPUTED_VALUE"""),1.9769175879350435E-4)</f>
        <v>0.0001976917588</v>
      </c>
      <c r="G24" s="70">
        <f>IFERROR(__xludf.DUMMYFUNCTION("""COMPUTED_VALUE"""),1.8811532952161912E-4)</f>
        <v>0.0001881153295</v>
      </c>
      <c r="H24" s="70">
        <f>IFERROR(__xludf.DUMMYFUNCTION("""COMPUTED_VALUE"""),2.3169385505305266E-4)</f>
        <v>0.0002316938551</v>
      </c>
      <c r="I24" s="70">
        <f>IFERROR(__xludf.DUMMYFUNCTION("""COMPUTED_VALUE"""),1.5871947960674037E-4)</f>
        <v>0.0001587194796</v>
      </c>
      <c r="J24" s="70">
        <f>IFERROR(__xludf.DUMMYFUNCTION("""COMPUTED_VALUE"""),3.177568648422512E-4)</f>
        <v>0.0003177568648</v>
      </c>
      <c r="K24" s="70">
        <f>IFERROR(__xludf.DUMMYFUNCTION("""COMPUTED_VALUE"""),2.090504993289995E-4)</f>
        <v>0.0002090504993</v>
      </c>
      <c r="L24" s="70">
        <f>IFERROR(__xludf.DUMMYFUNCTION("""COMPUTED_VALUE"""),2.090504993289995E-4)</f>
        <v>0.0002090504993</v>
      </c>
      <c r="M24" s="70">
        <f>IFERROR(__xludf.DUMMYFUNCTION("""COMPUTED_VALUE"""),2.2918508408418232E-4)</f>
        <v>0.0002291850841</v>
      </c>
      <c r="N24" s="70">
        <f>IFERROR(__xludf.DUMMYFUNCTION("""COMPUTED_VALUE"""),1.861610096656877E-4)</f>
        <v>0.0001861610097</v>
      </c>
      <c r="O24" s="70">
        <f>IFERROR(__xludf.DUMMYFUNCTION("""COMPUTED_VALUE"""),1.8190802395262818E-4)</f>
        <v>0.000181908024</v>
      </c>
      <c r="P24" s="70">
        <f>IFERROR(__xludf.DUMMYFUNCTION("""COMPUTED_VALUE"""),2.7636714989967814E-4)</f>
        <v>0.0002763671499</v>
      </c>
      <c r="Q24" s="70">
        <f>IFERROR(__xludf.DUMMYFUNCTION("""COMPUTED_VALUE"""),1.5871947960674037E-4)</f>
        <v>0.0001587194796</v>
      </c>
      <c r="R24" s="70">
        <f>IFERROR(__xludf.DUMMYFUNCTION("""COMPUTED_VALUE"""),3.3246480681462973E-4)</f>
        <v>0.0003324648068</v>
      </c>
      <c r="S24" s="70">
        <f>IFERROR(__xludf.DUMMYFUNCTION("""COMPUTED_VALUE"""),2.6084844787610626E-4)</f>
        <v>0.0002608484479</v>
      </c>
      <c r="T24" s="70">
        <f>IFERROR(__xludf.DUMMYFUNCTION("""COMPUTED_VALUE"""),1.6191467218047042E-4)</f>
        <v>0.0001619146722</v>
      </c>
      <c r="U24" s="70">
        <f>IFERROR(__xludf.DUMMYFUNCTION("""COMPUTED_VALUE"""),2.7257764445766977E-4)</f>
        <v>0.0002725776445</v>
      </c>
      <c r="V24" s="70">
        <f>IFERROR(__xludf.DUMMYFUNCTION("""COMPUTED_VALUE"""),1.8808331721388498E-4)</f>
        <v>0.0001880833172</v>
      </c>
      <c r="W24" s="70">
        <f>IFERROR(__xludf.DUMMYFUNCTION("""COMPUTED_VALUE"""),3.606923016935906E-4)</f>
        <v>0.0003606923017</v>
      </c>
      <c r="X24" s="70">
        <f>IFERROR(__xludf.DUMMYFUNCTION("""COMPUTED_VALUE"""),2.603609618045509E-4)</f>
        <v>0.0002603609618</v>
      </c>
      <c r="Y24" s="70">
        <f>IFERROR(__xludf.DUMMYFUNCTION("""COMPUTED_VALUE"""),3.111341210363441E-4)</f>
        <v>0.000311134121</v>
      </c>
      <c r="Z24" s="70">
        <f>IFERROR(__xludf.DUMMYFUNCTION("""COMPUTED_VALUE"""),3.0439278593740284E-4)</f>
        <v>0.0003043927859</v>
      </c>
      <c r="AA24" s="70">
        <f>IFERROR(__xludf.DUMMYFUNCTION("""COMPUTED_VALUE"""),2.598981944444497E-4)</f>
        <v>0.0002598981944</v>
      </c>
      <c r="AB24" s="70">
        <f>IFERROR(__xludf.DUMMYFUNCTION("""COMPUTED_VALUE"""),1.726800250113148E-4)</f>
        <v>0.000172680025</v>
      </c>
      <c r="AC24" s="70">
        <f>IFERROR(__xludf.DUMMYFUNCTION("""COMPUTED_VALUE"""),1.952190924518026E-4)</f>
        <v>0.0001952190925</v>
      </c>
    </row>
    <row r="25" ht="30.0" customHeight="1">
      <c r="A25" s="64" t="str">
        <f>IFERROR(__xludf.DUMMYFUNCTION("""COMPUTED_VALUE"""),"Impact 24事件機率")</f>
        <v>Impact 24事件機率</v>
      </c>
      <c r="B25" s="67" t="str">
        <f t="shared" si="1"/>
        <v>4.237%</v>
      </c>
      <c r="C25" s="69">
        <f>IFERROR(__xludf.DUMMYFUNCTION("""COMPUTED_VALUE"""),0.04544071683854548)</f>
        <v>0.04544071684</v>
      </c>
      <c r="D25" s="69">
        <f>IFERROR(__xludf.DUMMYFUNCTION("""COMPUTED_VALUE"""),0.04546793499777793)</f>
        <v>0.045467935</v>
      </c>
      <c r="E25" s="69">
        <f>IFERROR(__xludf.DUMMYFUNCTION("""COMPUTED_VALUE"""),0.04544071683854548)</f>
        <v>0.04544071684</v>
      </c>
      <c r="F25" s="69">
        <f>IFERROR(__xludf.DUMMYFUNCTION("""COMPUTED_VALUE"""),0.04546793499777793)</f>
        <v>0.045467935</v>
      </c>
      <c r="G25" s="69">
        <f>IFERROR(__xludf.DUMMYFUNCTION("""COMPUTED_VALUE"""),0.04544071683854548)</f>
        <v>0.04544071684</v>
      </c>
      <c r="H25" s="69">
        <f>IFERROR(__xludf.DUMMYFUNCTION("""COMPUTED_VALUE"""),0.04546793499777793)</f>
        <v>0.045467935</v>
      </c>
      <c r="I25" s="69">
        <f>IFERROR(__xludf.DUMMYFUNCTION("""COMPUTED_VALUE"""),0.04544071683854548)</f>
        <v>0.04544071684</v>
      </c>
      <c r="J25" s="69">
        <f>IFERROR(__xludf.DUMMYFUNCTION("""COMPUTED_VALUE"""),0.03527063159082359)</f>
        <v>0.03527063159</v>
      </c>
      <c r="K25" s="69">
        <f>IFERROR(__xludf.DUMMYFUNCTION("""COMPUTED_VALUE"""),0.035249517773648605)</f>
        <v>0.03524951777</v>
      </c>
      <c r="L25" s="69">
        <f>IFERROR(__xludf.DUMMYFUNCTION("""COMPUTED_VALUE"""),0.035249517773648605)</f>
        <v>0.03524951777</v>
      </c>
      <c r="M25" s="69">
        <f>IFERROR(__xludf.DUMMYFUNCTION("""COMPUTED_VALUE"""),0.035249517773648605)</f>
        <v>0.03524951777</v>
      </c>
      <c r="N25" s="69">
        <f>IFERROR(__xludf.DUMMYFUNCTION("""COMPUTED_VALUE"""),0.03527063159082359)</f>
        <v>0.03527063159</v>
      </c>
      <c r="O25" s="69">
        <f>IFERROR(__xludf.DUMMYFUNCTION("""COMPUTED_VALUE"""),0.035249517773648605)</f>
        <v>0.03524951777</v>
      </c>
      <c r="P25" s="69">
        <f>IFERROR(__xludf.DUMMYFUNCTION("""COMPUTED_VALUE"""),0.04223537958200365)</f>
        <v>0.04223537958</v>
      </c>
      <c r="Q25" s="69">
        <f>IFERROR(__xludf.DUMMYFUNCTION("""COMPUTED_VALUE"""),0.04544071683854548)</f>
        <v>0.04544071684</v>
      </c>
      <c r="R25" s="69">
        <f>IFERROR(__xludf.DUMMYFUNCTION("""COMPUTED_VALUE"""),0.05022395018997182)</f>
        <v>0.05022395019</v>
      </c>
      <c r="S25" s="69">
        <f>IFERROR(__xludf.DUMMYFUNCTION("""COMPUTED_VALUE"""),0.05022395018997182)</f>
        <v>0.05022395019</v>
      </c>
      <c r="T25" s="69">
        <f>IFERROR(__xludf.DUMMYFUNCTION("""COMPUTED_VALUE"""),0.05025403341859714)</f>
        <v>0.05025403342</v>
      </c>
      <c r="U25" s="69">
        <f>IFERROR(__xludf.DUMMYFUNCTION("""COMPUTED_VALUE"""),0.05022395018997182)</f>
        <v>0.05022395019</v>
      </c>
      <c r="V25" s="69">
        <f>IFERROR(__xludf.DUMMYFUNCTION("""COMPUTED_VALUE"""),0.05025403341859714)</f>
        <v>0.05025403342</v>
      </c>
      <c r="W25" s="69">
        <f>IFERROR(__xludf.DUMMYFUNCTION("""COMPUTED_VALUE"""),0.03895999332876936)</f>
        <v>0.03895999333</v>
      </c>
      <c r="X25" s="69">
        <f>IFERROR(__xludf.DUMMYFUNCTION("""COMPUTED_VALUE"""),0.03898332965301541)</f>
        <v>0.03898332965</v>
      </c>
      <c r="Y25" s="69">
        <f>IFERROR(__xludf.DUMMYFUNCTION("""COMPUTED_VALUE"""),0.03895999332876936)</f>
        <v>0.03895999333</v>
      </c>
      <c r="Z25" s="69">
        <f>IFERROR(__xludf.DUMMYFUNCTION("""COMPUTED_VALUE"""),0.03898332965301541)</f>
        <v>0.03898332965</v>
      </c>
      <c r="AA25" s="69">
        <f>IFERROR(__xludf.DUMMYFUNCTION("""COMPUTED_VALUE"""),0.03895999332876936)</f>
        <v>0.03895999333</v>
      </c>
      <c r="AB25" s="69">
        <f>IFERROR(__xludf.DUMMYFUNCTION("""COMPUTED_VALUE"""),0.03898332965301541)</f>
        <v>0.03898332965</v>
      </c>
      <c r="AC25" s="69">
        <f>IFERROR(__xludf.DUMMYFUNCTION("""COMPUTED_VALUE"""),0.03895999332876936)</f>
        <v>0.03895999333</v>
      </c>
    </row>
    <row r="26" ht="30.0" customHeight="1">
      <c r="A26" s="64" t="str">
        <f>IFERROR(__xludf.DUMMYFUNCTION("""COMPUTED_VALUE"""),"Impact 25事件機率")</f>
        <v>Impact 25事件機率</v>
      </c>
      <c r="B26" s="67" t="str">
        <f t="shared" si="1"/>
        <v>1.815%</v>
      </c>
      <c r="C26" s="70">
        <f>IFERROR(__xludf.DUMMYFUNCTION("""COMPUTED_VALUE"""),0.018445818175806917)</f>
        <v>0.01844581818</v>
      </c>
      <c r="D26" s="70">
        <f>IFERROR(__xludf.DUMMYFUNCTION("""COMPUTED_VALUE"""),0.020383615202783433)</f>
        <v>0.0203836152</v>
      </c>
      <c r="E26" s="70">
        <f>IFERROR(__xludf.DUMMYFUNCTION("""COMPUTED_VALUE"""),0.018445818175806917)</f>
        <v>0.01844581818</v>
      </c>
      <c r="F26" s="70">
        <f>IFERROR(__xludf.DUMMYFUNCTION("""COMPUTED_VALUE"""),0.020383615202783433)</f>
        <v>0.0203836152</v>
      </c>
      <c r="G26" s="70">
        <f>IFERROR(__xludf.DUMMYFUNCTION("""COMPUTED_VALUE"""),0.019457339697979446)</f>
        <v>0.0194573397</v>
      </c>
      <c r="H26" s="70">
        <f>IFERROR(__xludf.DUMMYFUNCTION("""COMPUTED_VALUE"""),0.018442318516804036)</f>
        <v>0.01844231852</v>
      </c>
      <c r="I26" s="70">
        <f>IFERROR(__xludf.DUMMYFUNCTION("""COMPUTED_VALUE"""),0.020387483246944515)</f>
        <v>0.02038748325</v>
      </c>
      <c r="J26" s="70">
        <f>IFERROR(__xludf.DUMMYFUNCTION("""COMPUTED_VALUE"""),0.014306174716722948)</f>
        <v>0.01430617472</v>
      </c>
      <c r="K26" s="70">
        <f>IFERROR(__xludf.DUMMYFUNCTION("""COMPUTED_VALUE"""),0.015751961424891006)</f>
        <v>0.01575196142</v>
      </c>
      <c r="L26" s="70">
        <f>IFERROR(__xludf.DUMMYFUNCTION("""COMPUTED_VALUE"""),0.015751961424891006)</f>
        <v>0.01575196142</v>
      </c>
      <c r="M26" s="70">
        <f>IFERROR(__xludf.DUMMYFUNCTION("""COMPUTED_VALUE"""),0.014308889491066451)</f>
        <v>0.01430888949</v>
      </c>
      <c r="N26" s="70">
        <f>IFERROR(__xludf.DUMMYFUNCTION("""COMPUTED_VALUE"""),0.015812087844799035)</f>
        <v>0.01581208784</v>
      </c>
      <c r="O26" s="70">
        <f>IFERROR(__xludf.DUMMYFUNCTION("""COMPUTED_VALUE"""),0.014308889491066451)</f>
        <v>0.01430888949</v>
      </c>
      <c r="P26" s="70">
        <f>IFERROR(__xludf.DUMMYFUNCTION("""COMPUTED_VALUE"""),0.017938260158360624)</f>
        <v>0.01793826016</v>
      </c>
      <c r="Q26" s="70">
        <f>IFERROR(__xludf.DUMMYFUNCTION("""COMPUTED_VALUE"""),0.020387483246944515)</f>
        <v>0.02038748325</v>
      </c>
      <c r="R26" s="70">
        <f>IFERROR(__xludf.DUMMYFUNCTION("""COMPUTED_VALUE"""),0.022533534115043836)</f>
        <v>0.02253353412</v>
      </c>
      <c r="S26" s="70">
        <f>IFERROR(__xludf.DUMMYFUNCTION("""COMPUTED_VALUE"""),0.022533534115043836)</f>
        <v>0.02253353412</v>
      </c>
      <c r="T26" s="70">
        <f>IFERROR(__xludf.DUMMYFUNCTION("""COMPUTED_VALUE"""),0.020383615202783433)</f>
        <v>0.0203836152</v>
      </c>
      <c r="U26" s="70">
        <f>IFERROR(__xludf.DUMMYFUNCTION("""COMPUTED_VALUE"""),0.020627362372730235)</f>
        <v>0.02062736237</v>
      </c>
      <c r="V26" s="70">
        <f>IFERROR(__xludf.DUMMYFUNCTION("""COMPUTED_VALUE"""),0.02252925890833949)</f>
        <v>0.02252925891</v>
      </c>
      <c r="W26" s="70">
        <f>IFERROR(__xludf.DUMMYFUNCTION("""COMPUTED_VALUE"""),0.01581508838486291)</f>
        <v>0.01581508838</v>
      </c>
      <c r="X26" s="70">
        <f>IFERROR(__xludf.DUMMYFUNCTION("""COMPUTED_VALUE"""),0.017476518144251635)</f>
        <v>0.01747651814</v>
      </c>
      <c r="Y26" s="70">
        <f>IFERROR(__xludf.DUMMYFUNCTION("""COMPUTED_VALUE"""),0.016496267081004944)</f>
        <v>0.01649626708</v>
      </c>
      <c r="Z26" s="70">
        <f>IFERROR(__xludf.DUMMYFUNCTION("""COMPUTED_VALUE"""),0.015812087844799035)</f>
        <v>0.01581208784</v>
      </c>
      <c r="AA26" s="70">
        <f>IFERROR(__xludf.DUMMYFUNCTION("""COMPUTED_VALUE"""),0.017479834530638023)</f>
        <v>0.01747983453</v>
      </c>
      <c r="AB26" s="70">
        <f>IFERROR(__xludf.DUMMYFUNCTION("""COMPUTED_VALUE"""),0.015812087844799035)</f>
        <v>0.01581208784</v>
      </c>
      <c r="AC26" s="70">
        <f>IFERROR(__xludf.DUMMYFUNCTION("""COMPUTED_VALUE"""),0.017479834530638023)</f>
        <v>0.01747983453</v>
      </c>
    </row>
    <row r="27" ht="30.0" customHeight="1">
      <c r="A27" s="64" t="str">
        <f>IFERROR(__xludf.DUMMYFUNCTION("""COMPUTED_VALUE"""),"Impact 26事件機率")</f>
        <v>Impact 26事件機率</v>
      </c>
      <c r="B27" s="67" t="str">
        <f t="shared" si="1"/>
        <v>0.736%</v>
      </c>
      <c r="C27" s="69">
        <f>IFERROR(__xludf.DUMMYFUNCTION("""COMPUTED_VALUE"""),0.008215021190581583)</f>
        <v>0.008215021191</v>
      </c>
      <c r="D27" s="69">
        <f>IFERROR(__xludf.DUMMYFUNCTION("""COMPUTED_VALUE"""),0.006854903657804398)</f>
        <v>0.006854903658</v>
      </c>
      <c r="E27" s="69">
        <f>IFERROR(__xludf.DUMMYFUNCTION("""COMPUTED_VALUE"""),0.00887263610938212)</f>
        <v>0.008872636109</v>
      </c>
      <c r="F27" s="69">
        <f>IFERROR(__xludf.DUMMYFUNCTION("""COMPUTED_VALUE"""),0.007576472463889048)</f>
        <v>0.007576472464</v>
      </c>
      <c r="G27" s="69">
        <f>IFERROR(__xludf.DUMMYFUNCTION("""COMPUTED_VALUE"""),0.007921386152686912)</f>
        <v>0.007921386153</v>
      </c>
      <c r="H27" s="69">
        <f>IFERROR(__xludf.DUMMYFUNCTION("""COMPUTED_VALUE"""),0.008213462584040284)</f>
        <v>0.008213462584</v>
      </c>
      <c r="I27" s="69">
        <f>IFERROR(__xludf.DUMMYFUNCTION("""COMPUTED_VALUE"""),0.007059316687332722)</f>
        <v>0.007059316687</v>
      </c>
      <c r="J27" s="69">
        <f>IFERROR(__xludf.DUMMYFUNCTION("""COMPUTED_VALUE"""),0.007042064248618264)</f>
        <v>0.007042064249</v>
      </c>
      <c r="K27" s="69">
        <f>IFERROR(__xludf.DUMMYFUNCTION("""COMPUTED_VALUE"""),0.005899090940872358)</f>
        <v>0.005899090941</v>
      </c>
      <c r="L27" s="69">
        <f>IFERROR(__xludf.DUMMYFUNCTION("""COMPUTED_VALUE"""),0.005899090940872358)</f>
        <v>0.005899090941</v>
      </c>
      <c r="M27" s="69">
        <f>IFERROR(__xludf.DUMMYFUNCTION("""COMPUTED_VALUE"""),0.00637260051370207)</f>
        <v>0.006372600514</v>
      </c>
      <c r="N27" s="69">
        <f>IFERROR(__xludf.DUMMYFUNCTION("""COMPUTED_VALUE"""),0.005711947398706701)</f>
        <v>0.005711947399</v>
      </c>
      <c r="O27" s="69">
        <f>IFERROR(__xludf.DUMMYFUNCTION("""COMPUTED_VALUE"""),0.0070434005677759695)</f>
        <v>0.007043400568</v>
      </c>
      <c r="P27" s="69">
        <f>IFERROR(__xludf.DUMMYFUNCTION("""COMPUTED_VALUE"""),0.00736591120767666)</f>
        <v>0.007365911208</v>
      </c>
      <c r="Q27" s="69">
        <f>IFERROR(__xludf.DUMMYFUNCTION("""COMPUTED_VALUE"""),0.007059316687332722)</f>
        <v>0.007059316687</v>
      </c>
      <c r="R27" s="69">
        <f>IFERROR(__xludf.DUMMYFUNCTION("""COMPUTED_VALUE"""),0.007577910193643264)</f>
        <v>0.007577910194</v>
      </c>
      <c r="S27" s="69">
        <f>IFERROR(__xludf.DUMMYFUNCTION("""COMPUTED_VALUE"""),0.008375584950868879)</f>
        <v>0.008375584951</v>
      </c>
      <c r="T27" s="69">
        <f>IFERROR(__xludf.DUMMYFUNCTION("""COMPUTED_VALUE"""),0.010033620497401093)</f>
        <v>0.0100336205</v>
      </c>
      <c r="U27" s="69">
        <f>IFERROR(__xludf.DUMMYFUNCTION("""COMPUTED_VALUE"""),0.009001049660068022)</f>
        <v>0.00900104966</v>
      </c>
      <c r="V27" s="69">
        <f>IFERROR(__xludf.DUMMYFUNCTION("""COMPUTED_VALUE"""),0.007576472463889048)</f>
        <v>0.007576472464</v>
      </c>
      <c r="W27" s="69">
        <f>IFERROR(__xludf.DUMMYFUNCTION("""COMPUTED_VALUE"""),0.007524354252739708)</f>
        <v>0.007524354253</v>
      </c>
      <c r="X27" s="69">
        <f>IFERROR(__xludf.DUMMYFUNCTION("""COMPUTED_VALUE"""),0.006495921217473721)</f>
        <v>0.006495921217</v>
      </c>
      <c r="Y27" s="69">
        <f>IFERROR(__xludf.DUMMYFUNCTION("""COMPUTED_VALUE"""),0.007004739006109465)</f>
        <v>0.007004739006</v>
      </c>
      <c r="Z27" s="69">
        <f>IFERROR(__xludf.DUMMYFUNCTION("""COMPUTED_VALUE"""),0.007042064248618264)</f>
        <v>0.007042064249</v>
      </c>
      <c r="AA27" s="69">
        <f>IFERROR(__xludf.DUMMYFUNCTION("""COMPUTED_VALUE"""),0.0059833568518321825)</f>
        <v>0.005983356852</v>
      </c>
      <c r="AB27" s="69">
        <f>IFERROR(__xludf.DUMMYFUNCTION("""COMPUTED_VALUE"""),0.0077833341695254165)</f>
        <v>0.00778333417</v>
      </c>
      <c r="AC27" s="69">
        <f>IFERROR(__xludf.DUMMYFUNCTION("""COMPUTED_VALUE"""),0.006497153899207854)</f>
        <v>0.006497153899</v>
      </c>
    </row>
    <row r="28" ht="30.0" customHeight="1">
      <c r="A28" s="64" t="str">
        <f>IFERROR(__xludf.DUMMYFUNCTION("""COMPUTED_VALUE"""),"Impact 27事件機率")</f>
        <v>Impact 27事件機率</v>
      </c>
      <c r="B28" s="67" t="str">
        <f t="shared" si="1"/>
        <v>0.207%</v>
      </c>
      <c r="C28" s="70">
        <f>IFERROR(__xludf.DUMMYFUNCTION("""COMPUTED_VALUE"""),0.0025768128457642273)</f>
        <v>0.002576812846</v>
      </c>
      <c r="D28" s="70">
        <f>IFERROR(__xludf.DUMMYFUNCTION("""COMPUTED_VALUE"""),0.002349435595447233)</f>
        <v>0.002349435595</v>
      </c>
      <c r="E28" s="70">
        <f>IFERROR(__xludf.DUMMYFUNCTION("""COMPUTED_VALUE"""),0.002160885657724951)</f>
        <v>0.002160885658</v>
      </c>
      <c r="F28" s="70">
        <f>IFERROR(__xludf.DUMMYFUNCTION("""COMPUTED_VALUE"""),0.001731958475887238)</f>
        <v>0.001731958476</v>
      </c>
      <c r="G28" s="70">
        <f>IFERROR(__xludf.DUMMYFUNCTION("""COMPUTED_VALUE"""),0.0021498922866683198)</f>
        <v>0.002149892287</v>
      </c>
      <c r="H28" s="70">
        <f>IFERROR(__xludf.DUMMYFUNCTION("""COMPUTED_VALUE"""),0.0026851276633097893)</f>
        <v>0.002685127663</v>
      </c>
      <c r="I28" s="70">
        <f>IFERROR(__xludf.DUMMYFUNCTION("""COMPUTED_VALUE"""),0.0015337341983428538)</f>
        <v>0.001533734198</v>
      </c>
      <c r="J28" s="70">
        <f>IFERROR(__xludf.DUMMYFUNCTION("""COMPUTED_VALUE"""),0.0015337341983428538)</f>
        <v>0.001533734198</v>
      </c>
      <c r="K28" s="70">
        <f>IFERROR(__xludf.DUMMYFUNCTION("""COMPUTED_VALUE"""),0.001668224625566493)</f>
        <v>0.001668224626</v>
      </c>
      <c r="L28" s="70">
        <f>IFERROR(__xludf.DUMMYFUNCTION("""COMPUTED_VALUE"""),0.001668224625566493)</f>
        <v>0.001668224626</v>
      </c>
      <c r="M28" s="70">
        <f>IFERROR(__xludf.DUMMYFUNCTION("""COMPUTED_VALUE"""),0.0021723510827268947)</f>
        <v>0.002172351083</v>
      </c>
      <c r="N28" s="70">
        <f>IFERROR(__xludf.DUMMYFUNCTION("""COMPUTED_VALUE"""),0.0014313743671794039)</f>
        <v>0.001431374367</v>
      </c>
      <c r="O28" s="70">
        <f>IFERROR(__xludf.DUMMYFUNCTION("""COMPUTED_VALUE"""),0.001601217246818097)</f>
        <v>0.001601217247</v>
      </c>
      <c r="P28" s="70">
        <f>IFERROR(__xludf.DUMMYFUNCTION("""COMPUTED_VALUE"""),0.002068473899378961)</f>
        <v>0.002068473899</v>
      </c>
      <c r="Q28" s="70">
        <f>IFERROR(__xludf.DUMMYFUNCTION("""COMPUTED_VALUE"""),0.0029246247461571654)</f>
        <v>0.002924624746</v>
      </c>
      <c r="R28" s="70">
        <f>IFERROR(__xludf.DUMMYFUNCTION("""COMPUTED_VALUE"""),0.0029246247461571654)</f>
        <v>0.002924624746</v>
      </c>
      <c r="S28" s="70">
        <f>IFERROR(__xludf.DUMMYFUNCTION("""COMPUTED_VALUE"""),0.0018136243085664855)</f>
        <v>0.001813624309</v>
      </c>
      <c r="T28" s="70">
        <f>IFERROR(__xludf.DUMMYFUNCTION("""COMPUTED_VALUE"""),0.0023749054981543633)</f>
        <v>0.002374905498</v>
      </c>
      <c r="U28" s="70">
        <f>IFERROR(__xludf.DUMMYFUNCTION("""COMPUTED_VALUE"""),0.002751302228119013)</f>
        <v>0.002751302228</v>
      </c>
      <c r="V28" s="70">
        <f>IFERROR(__xludf.DUMMYFUNCTION("""COMPUTED_VALUE"""),0.0025687771804260707)</f>
        <v>0.00256877718</v>
      </c>
      <c r="W28" s="70">
        <f>IFERROR(__xludf.DUMMYFUNCTION("""COMPUTED_VALUE"""),0.0019392989082484139)</f>
        <v>0.001939298908</v>
      </c>
      <c r="X28" s="70">
        <f>IFERROR(__xludf.DUMMYFUNCTION("""COMPUTED_VALUE"""),0.0014685767689093718)</f>
        <v>0.001468576769</v>
      </c>
      <c r="Y28" s="70">
        <f>IFERROR(__xludf.DUMMYFUNCTION("""COMPUTED_VALUE"""),0.0018431362348753642)</f>
        <v>0.001843136235</v>
      </c>
      <c r="Z28" s="70">
        <f>IFERROR(__xludf.DUMMYFUNCTION("""COMPUTED_VALUE"""),0.002276181882494239)</f>
        <v>0.002276181882</v>
      </c>
      <c r="AA28" s="70">
        <f>IFERROR(__xludf.DUMMYFUNCTION("""COMPUTED_VALUE"""),0.0017826003059010032)</f>
        <v>0.001782600306</v>
      </c>
      <c r="AB28" s="70">
        <f>IFERROR(__xludf.DUMMYFUNCTION("""COMPUTED_VALUE"""),0.0018422744928380276)</f>
        <v>0.001842274493</v>
      </c>
      <c r="AC28" s="70">
        <f>IFERROR(__xludf.DUMMYFUNCTION("""COMPUTED_VALUE"""),0.001407752163905285)</f>
        <v>0.001407752164</v>
      </c>
    </row>
    <row r="29" ht="30.0" customHeight="1">
      <c r="A29" s="64" t="str">
        <f>IFERROR(__xludf.DUMMYFUNCTION("""COMPUTED_VALUE"""),"Impact 28事件機率")</f>
        <v>Impact 28事件機率</v>
      </c>
      <c r="B29" s="67" t="str">
        <f t="shared" si="1"/>
        <v>0.013%</v>
      </c>
      <c r="C29" s="69">
        <f>IFERROR(__xludf.DUMMYFUNCTION("""COMPUTED_VALUE"""),1.9401459558261597E-4)</f>
        <v>0.0001940145956</v>
      </c>
      <c r="D29" s="69">
        <f>IFERROR(__xludf.DUMMYFUNCTION("""COMPUTED_VALUE"""),1.221409262683891E-4)</f>
        <v>0.0001221409263</v>
      </c>
      <c r="E29" s="69">
        <f>IFERROR(__xludf.DUMMYFUNCTION("""COMPUTED_VALUE"""),1.446411898079891E-4)</f>
        <v>0.0001446411898</v>
      </c>
      <c r="F29" s="69">
        <f>IFERROR(__xludf.DUMMYFUNCTION("""COMPUTED_VALUE"""),1.0108759981052447E-4)</f>
        <v>0.0001010875998</v>
      </c>
      <c r="G29" s="69">
        <f>IFERROR(__xludf.DUMMYFUNCTION("""COMPUTED_VALUE"""),1.334829683320806E-4)</f>
        <v>0.0001334829683</v>
      </c>
      <c r="H29" s="69">
        <f>IFERROR(__xludf.DUMMYFUNCTION("""COMPUTED_VALUE"""),1.737921648130517E-4)</f>
        <v>0.0001737921648</v>
      </c>
      <c r="I29" s="69">
        <f>IFERROR(__xludf.DUMMYFUNCTION("""COMPUTED_VALUE"""),1.0953189876845908E-4)</f>
        <v>0.0001095318988</v>
      </c>
      <c r="J29" s="69">
        <f>IFERROR(__xludf.DUMMYFUNCTION("""COMPUTED_VALUE"""),1.094504344268352E-4)</f>
        <v>0.0001094504344</v>
      </c>
      <c r="K29" s="69">
        <f>IFERROR(__xludf.DUMMYFUNCTION("""COMPUTED_VALUE"""),1.2261250939969544E-4)</f>
        <v>0.0001226125094</v>
      </c>
      <c r="L29" s="69">
        <f>IFERROR(__xludf.DUMMYFUNCTION("""COMPUTED_VALUE"""),1.2261250939969544E-4)</f>
        <v>0.0001226125094</v>
      </c>
      <c r="M29" s="69">
        <f>IFERROR(__xludf.DUMMYFUNCTION("""COMPUTED_VALUE"""),1.1622006371574597E-4)</f>
        <v>0.0001162200637</v>
      </c>
      <c r="N29" s="69">
        <f>IFERROR(__xludf.DUMMYFUNCTION("""COMPUTED_VALUE"""),9.332189627642761E-5)</f>
        <v>0.00009332189628</v>
      </c>
      <c r="O29" s="69">
        <f>IFERROR(__xludf.DUMMYFUNCTION("""COMPUTED_VALUE"""),9.596279454240814E-5)</f>
        <v>0.00009596279454</v>
      </c>
      <c r="P29" s="69">
        <f>IFERROR(__xludf.DUMMYFUNCTION("""COMPUTED_VALUE"""),1.3220052043287465E-4)</f>
        <v>0.0001322005204</v>
      </c>
      <c r="Q29" s="69">
        <f>IFERROR(__xludf.DUMMYFUNCTION("""COMPUTED_VALUE"""),1.5549141319416482E-4)</f>
        <v>0.0001554914132</v>
      </c>
      <c r="R29" s="69">
        <f>IFERROR(__xludf.DUMMYFUNCTION("""COMPUTED_VALUE"""),1.5549141319416482E-4)</f>
        <v>0.0001554914132</v>
      </c>
      <c r="S29" s="69">
        <f>IFERROR(__xludf.DUMMYFUNCTION("""COMPUTED_VALUE"""),1.3242132606299466E-4)</f>
        <v>0.0001324213261</v>
      </c>
      <c r="T29" s="69">
        <f>IFERROR(__xludf.DUMMYFUNCTION("""COMPUTED_VALUE"""),1.1571906505600095E-4)</f>
        <v>0.0001157190651</v>
      </c>
      <c r="U29" s="69">
        <f>IFERROR(__xludf.DUMMYFUNCTION("""COMPUTED_VALUE"""),1.9924813807260585E-4)</f>
        <v>0.0001992481381</v>
      </c>
      <c r="V29" s="69">
        <f>IFERROR(__xludf.DUMMYFUNCTION("""COMPUTED_VALUE"""),1.4118096034931122E-4)</f>
        <v>0.0001411809603</v>
      </c>
      <c r="W29" s="69">
        <f>IFERROR(__xludf.DUMMYFUNCTION("""COMPUTED_VALUE"""),1.232104996383968E-4)</f>
        <v>0.0001232104996</v>
      </c>
      <c r="X29" s="69">
        <f>IFERROR(__xludf.DUMMYFUNCTION("""COMPUTED_VALUE"""),9.009822483361671E-5)</f>
        <v>0.00009009822483</v>
      </c>
      <c r="Y29" s="69">
        <f>IFERROR(__xludf.DUMMYFUNCTION("""COMPUTED_VALUE"""),1.0851066761251332E-4)</f>
        <v>0.0001085106676</v>
      </c>
      <c r="Z29" s="69">
        <f>IFERROR(__xludf.DUMMYFUNCTION("""COMPUTED_VALUE"""),1.5452484218204273E-4)</f>
        <v>0.0001545248422</v>
      </c>
      <c r="AA29" s="69">
        <f>IFERROR(__xludf.DUMMYFUNCTION("""COMPUTED_VALUE"""),1.313888702177559E-4)</f>
        <v>0.0001313888702</v>
      </c>
      <c r="AB29" s="69">
        <f>IFERROR(__xludf.DUMMYFUNCTION("""COMPUTED_VALUE"""),8.976621682564265E-5)</f>
        <v>0.00008976621683</v>
      </c>
      <c r="AC29" s="69">
        <f>IFERROR(__xludf.DUMMYFUNCTION("""COMPUTED_VALUE"""),1.009335349369359E-4)</f>
        <v>0.0001009335349</v>
      </c>
    </row>
    <row r="30" ht="30.0" customHeight="1">
      <c r="A30" s="64" t="str">
        <f>IFERROR(__xludf.DUMMYFUNCTION("""COMPUTED_VALUE"""),"Impact 29事件機率")</f>
        <v>Impact 29事件機率</v>
      </c>
      <c r="B30" s="67" t="str">
        <f t="shared" si="1"/>
        <v>0.009%</v>
      </c>
      <c r="C30" s="70">
        <f>IFERROR(__xludf.DUMMYFUNCTION("""COMPUTED_VALUE"""),1.3193933126874282E-4)</f>
        <v>0.0001319393313</v>
      </c>
      <c r="D30" s="70">
        <f>IFERROR(__xludf.DUMMYFUNCTION("""COMPUTED_VALUE"""),8.223406062643779E-5)</f>
        <v>0.00008223406063</v>
      </c>
      <c r="E30" s="70">
        <f>IFERROR(__xludf.DUMMYFUNCTION("""COMPUTED_VALUE"""),9.793666592333067E-5)</f>
        <v>0.00009793666592</v>
      </c>
      <c r="F30" s="70">
        <f>IFERROR(__xludf.DUMMYFUNCTION("""COMPUTED_VALUE"""),6.839587654303104E-5)</f>
        <v>0.00006839587654</v>
      </c>
      <c r="G30" s="70">
        <f>IFERROR(__xludf.DUMMYFUNCTION("""COMPUTED_VALUE"""),9.035825327981778E-5)</f>
        <v>0.00009035825328</v>
      </c>
      <c r="H30" s="70">
        <f>IFERROR(__xludf.DUMMYFUNCTION("""COMPUTED_VALUE"""),1.1768104137535349E-4)</f>
        <v>0.0001176810414</v>
      </c>
      <c r="I30" s="70">
        <f>IFERROR(__xludf.DUMMYFUNCTION("""COMPUTED_VALUE"""),7.421629750034879E-5)</f>
        <v>0.0000742162975</v>
      </c>
      <c r="J30" s="70">
        <f>IFERROR(__xludf.DUMMYFUNCTION("""COMPUTED_VALUE"""),7.41675732885837E-5)</f>
        <v>0.00007416757329</v>
      </c>
      <c r="K30" s="70">
        <f>IFERROR(__xludf.DUMMYFUNCTION("""COMPUTED_VALUE"""),8.362791681426354E-5)</f>
        <v>0.00008362791681</v>
      </c>
      <c r="L30" s="70">
        <f>IFERROR(__xludf.DUMMYFUNCTION("""COMPUTED_VALUE"""),8.362791681426354E-5)</f>
        <v>0.00008362791681</v>
      </c>
      <c r="M30" s="70">
        <f>IFERROR(__xludf.DUMMYFUNCTION("""COMPUTED_VALUE"""),7.825996127803228E-5)</f>
        <v>0.00007825996128</v>
      </c>
      <c r="N30" s="70">
        <f>IFERROR(__xludf.DUMMYFUNCTION("""COMPUTED_VALUE"""),6.346673181648075E-5)</f>
        <v>0.00006346673182</v>
      </c>
      <c r="O30" s="70">
        <f>IFERROR(__xludf.DUMMYFUNCTION("""COMPUTED_VALUE"""),6.465252471408393E-5)</f>
        <v>0.00006465252471</v>
      </c>
      <c r="P30" s="70">
        <f>IFERROR(__xludf.DUMMYFUNCTION("""COMPUTED_VALUE"""),9.032595513394812E-5)</f>
        <v>0.00009032595513</v>
      </c>
      <c r="Q30" s="70">
        <f>IFERROR(__xludf.DUMMYFUNCTION("""COMPUTED_VALUE"""),1.0570126960028191E-4)</f>
        <v>0.0001057012696</v>
      </c>
      <c r="R30" s="70">
        <f>IFERROR(__xludf.DUMMYFUNCTION("""COMPUTED_VALUE"""),1.0570126960028191E-4)</f>
        <v>0.0001057012696</v>
      </c>
      <c r="S30" s="70">
        <f>IFERROR(__xludf.DUMMYFUNCTION("""COMPUTED_VALUE"""),8.924669616260362E-5)</f>
        <v>0.00008924669616</v>
      </c>
      <c r="T30" s="70">
        <f>IFERROR(__xludf.DUMMYFUNCTION("""COMPUTED_VALUE"""),7.853804547776465E-5)</f>
        <v>0.00007853804548</v>
      </c>
      <c r="U30" s="70">
        <f>IFERROR(__xludf.DUMMYFUNCTION("""COMPUTED_VALUE"""),1.3651582747016883E-4)</f>
        <v>0.0001365158275</v>
      </c>
      <c r="V30" s="70">
        <f>IFERROR(__xludf.DUMMYFUNCTION("""COMPUTED_VALUE"""),9.534496913103499E-5)</f>
        <v>0.00009534496913</v>
      </c>
      <c r="W30" s="70">
        <f>IFERROR(__xludf.DUMMYFUNCTION("""COMPUTED_VALUE"""),8.382439136720969E-5)</f>
        <v>0.00008382439137</v>
      </c>
      <c r="X30" s="70">
        <f>IFERROR(__xludf.DUMMYFUNCTION("""COMPUTED_VALUE"""),6.084752148876998E-5)</f>
        <v>0.00006084752149</v>
      </c>
      <c r="Y30" s="70">
        <f>IFERROR(__xludf.DUMMYFUNCTION("""COMPUTED_VALUE"""),7.415768132652068E-5)</f>
        <v>0.00007415768133</v>
      </c>
      <c r="Z30" s="70">
        <f>IFERROR(__xludf.DUMMYFUNCTION("""COMPUTED_VALUE"""),1.0432444330079718E-4)</f>
        <v>0.0001043244433</v>
      </c>
      <c r="AA30" s="70">
        <f>IFERROR(__xludf.DUMMYFUNCTION("""COMPUTED_VALUE"""),8.853825155813765E-5)</f>
        <v>0.00008853825156</v>
      </c>
      <c r="AB30" s="70">
        <f>IFERROR(__xludf.DUMMYFUNCTION("""COMPUTED_VALUE"""),6.092395592729175E-5)</f>
        <v>0.00006092395593</v>
      </c>
      <c r="AC30" s="70">
        <f>IFERROR(__xludf.DUMMYFUNCTION("""COMPUTED_VALUE"""),6.884229257208572E-5)</f>
        <v>0.00006884229257</v>
      </c>
    </row>
    <row r="31" ht="30.0" customHeight="1">
      <c r="A31" s="64" t="str">
        <f>IFERROR(__xludf.DUMMYFUNCTION("""COMPUTED_VALUE"""),"Impact 30事件機率")</f>
        <v>Impact 30事件機率</v>
      </c>
      <c r="B31" s="67" t="str">
        <f t="shared" si="1"/>
        <v>0.005%</v>
      </c>
      <c r="C31" s="69">
        <f>IFERROR(__xludf.DUMMYFUNCTION("""COMPUTED_VALUE"""),7.829348135870488E-5)</f>
        <v>0.00007829348136</v>
      </c>
      <c r="D31" s="69">
        <f>IFERROR(__xludf.DUMMYFUNCTION("""COMPUTED_VALUE"""),4.8777000480860175E-5)</f>
        <v>0.00004877700048</v>
      </c>
      <c r="E31" s="69">
        <f>IFERROR(__xludf.DUMMYFUNCTION("""COMPUTED_VALUE"""),5.836139855645938E-5)</f>
        <v>0.00005836139856</v>
      </c>
      <c r="F31" s="69">
        <f>IFERROR(__xludf.DUMMYFUNCTION("""COMPUTED_VALUE"""),4.0217339311837645E-5)</f>
        <v>0.00004021733931</v>
      </c>
      <c r="G31" s="69">
        <f>IFERROR(__xludf.DUMMYFUNCTION("""COMPUTED_VALUE"""),5.3567821048679705E-5)</f>
        <v>0.00005356782105</v>
      </c>
      <c r="H31" s="69">
        <f>IFERROR(__xludf.DUMMYFUNCTION("""COMPUTED_VALUE"""),6.983044964878992E-5)</f>
        <v>0.00006983044965</v>
      </c>
      <c r="I31" s="69">
        <f>IFERROR(__xludf.DUMMYFUNCTION("""COMPUTED_VALUE"""),4.366361437392663E-5)</f>
        <v>0.00004366361437</v>
      </c>
      <c r="J31" s="69">
        <f>IFERROR(__xludf.DUMMYFUNCTION("""COMPUTED_VALUE"""),4.362931524986894E-5)</f>
        <v>0.00004362931525</v>
      </c>
      <c r="K31" s="69">
        <f>IFERROR(__xludf.DUMMYFUNCTION("""COMPUTED_VALUE"""),4.9731943328708084E-5)</f>
        <v>0.00004973194333</v>
      </c>
      <c r="L31" s="69">
        <f>IFERROR(__xludf.DUMMYFUNCTION("""COMPUTED_VALUE"""),4.9731943328708084E-5)</f>
        <v>0.00004973194333</v>
      </c>
      <c r="M31" s="69">
        <f>IFERROR(__xludf.DUMMYFUNCTION("""COMPUTED_VALUE"""),4.628997929504292E-5)</f>
        <v>0.0000462899793</v>
      </c>
      <c r="N31" s="69">
        <f>IFERROR(__xludf.DUMMYFUNCTION("""COMPUTED_VALUE"""),3.745340128943274E-5)</f>
        <v>0.00003745340129</v>
      </c>
      <c r="O31" s="69">
        <f>IFERROR(__xludf.DUMMYFUNCTION("""COMPUTED_VALUE"""),3.815923088332085E-5)</f>
        <v>0.00003815923088</v>
      </c>
      <c r="P31" s="69">
        <f>IFERROR(__xludf.DUMMYFUNCTION("""COMPUTED_VALUE"""),5.3651928518998395E-5)</f>
        <v>0.00005365192852</v>
      </c>
      <c r="Q31" s="69">
        <f>IFERROR(__xludf.DUMMYFUNCTION("""COMPUTED_VALUE"""),6.243049055241173E-5)</f>
        <v>0.00006243049055</v>
      </c>
      <c r="R31" s="69">
        <f>IFERROR(__xludf.DUMMYFUNCTION("""COMPUTED_VALUE"""),6.243049055241173E-5)</f>
        <v>0.00006243049055</v>
      </c>
      <c r="S31" s="69">
        <f>IFERROR(__xludf.DUMMYFUNCTION("""COMPUTED_VALUE"""),5.2666990355681876E-5)</f>
        <v>0.00005266699036</v>
      </c>
      <c r="T31" s="69">
        <f>IFERROR(__xludf.DUMMYFUNCTION("""COMPUTED_VALUE"""),4.6585633948946535E-5)</f>
        <v>0.00004658563395</v>
      </c>
      <c r="U31" s="69">
        <f>IFERROR(__xludf.DUMMYFUNCTION("""COMPUTED_VALUE"""),8.159447712728956E-5)</f>
        <v>0.00008159447713</v>
      </c>
      <c r="V31" s="69">
        <f>IFERROR(__xludf.DUMMYFUNCTION("""COMPUTED_VALUE"""),5.618158474409794E-5)</f>
        <v>0.00005618158474</v>
      </c>
      <c r="W31" s="69">
        <f>IFERROR(__xludf.DUMMYFUNCTION("""COMPUTED_VALUE"""),4.9563195126129196E-5)</f>
        <v>0.00004956319513</v>
      </c>
      <c r="X31" s="69">
        <f>IFERROR(__xludf.DUMMYFUNCTION("""COMPUTED_VALUE"""),3.605513908677934E-5)</f>
        <v>0.00003605513909</v>
      </c>
      <c r="Y31" s="69">
        <f>IFERROR(__xludf.DUMMYFUNCTION("""COMPUTED_VALUE"""),4.418284758492351E-5)</f>
        <v>0.00004418284758</v>
      </c>
      <c r="Z31" s="69">
        <f>IFERROR(__xludf.DUMMYFUNCTION("""COMPUTED_VALUE"""),6.172282760254142E-5)</f>
        <v>0.0000617228276</v>
      </c>
      <c r="AA31" s="69">
        <f>IFERROR(__xludf.DUMMYFUNCTION("""COMPUTED_VALUE"""),5.219746520648737E-5)</f>
        <v>0.00005219746521</v>
      </c>
      <c r="AB31" s="69">
        <f>IFERROR(__xludf.DUMMYFUNCTION("""COMPUTED_VALUE"""),3.6137659045183115E-5)</f>
        <v>0.00003613765905</v>
      </c>
      <c r="AC31" s="69">
        <f>IFERROR(__xludf.DUMMYFUNCTION("""COMPUTED_VALUE"""),4.105051540227131E-5)</f>
        <v>0.0000410505154</v>
      </c>
    </row>
    <row r="32" ht="30.0" customHeight="1">
      <c r="A32" s="64" t="str">
        <f>IFERROR(__xludf.DUMMYFUNCTION("""COMPUTED_VALUE"""),"Impact 31事件機率")</f>
        <v>Impact 31事件機率</v>
      </c>
      <c r="B32" s="67" t="str">
        <f t="shared" si="1"/>
        <v>0.006%</v>
      </c>
      <c r="C32" s="70">
        <f>IFERROR(__xludf.DUMMYFUNCTION("""COMPUTED_VALUE"""),8.609855385249825E-5)</f>
        <v>0.00008609855385</v>
      </c>
      <c r="D32" s="70">
        <f>IFERROR(__xludf.DUMMYFUNCTION("""COMPUTED_VALUE"""),5.354575265139153E-5)</f>
        <v>0.00005354575265</v>
      </c>
      <c r="E32" s="70">
        <f>IFERROR(__xludf.DUMMYFUNCTION("""COMPUTED_VALUE"""),6.400677772017256E-5)</f>
        <v>0.00006400677772</v>
      </c>
      <c r="F32" s="70">
        <f>IFERROR(__xludf.DUMMYFUNCTION("""COMPUTED_VALUE"""),4.400352311156945E-5)</f>
        <v>0.00004400352311</v>
      </c>
      <c r="G32" s="70">
        <f>IFERROR(__xludf.DUMMYFUNCTION("""COMPUTED_VALUE"""),5.8707279096914246E-5)</f>
        <v>0.0000587072791</v>
      </c>
      <c r="H32" s="70">
        <f>IFERROR(__xludf.DUMMYFUNCTION("""COMPUTED_VALUE"""),7.644821851970912E-5)</f>
        <v>0.00007644821852</v>
      </c>
      <c r="I32" s="70">
        <f>IFERROR(__xludf.DUMMYFUNCTION("""COMPUTED_VALUE"""),4.776527402555149E-5)</f>
        <v>0.00004776527403</v>
      </c>
      <c r="J32" s="70">
        <f>IFERROR(__xludf.DUMMYFUNCTION("""COMPUTED_VALUE"""),4.7723843842171415E-5)</f>
        <v>0.00004772384384</v>
      </c>
      <c r="K32" s="70">
        <f>IFERROR(__xludf.DUMMYFUNCTION("""COMPUTED_VALUE"""),5.463447472474892E-5)</f>
        <v>0.00005463447472</v>
      </c>
      <c r="L32" s="70">
        <f>IFERROR(__xludf.DUMMYFUNCTION("""COMPUTED_VALUE"""),5.463447472474892E-5)</f>
        <v>0.00005463447472</v>
      </c>
      <c r="M32" s="70">
        <f>IFERROR(__xludf.DUMMYFUNCTION("""COMPUTED_VALUE"""),5.076406245786172E-5)</f>
        <v>0.00005076406246</v>
      </c>
      <c r="N32" s="70">
        <f>IFERROR(__xludf.DUMMYFUNCTION("""COMPUTED_VALUE"""),4.121816366734627E-5)</f>
        <v>0.00004121816367</v>
      </c>
      <c r="O32" s="70">
        <f>IFERROR(__xludf.DUMMYFUNCTION("""COMPUTED_VALUE"""),4.1916419272774814E-5)</f>
        <v>0.00004191641927</v>
      </c>
      <c r="P32" s="70">
        <f>IFERROR(__xludf.DUMMYFUNCTION("""COMPUTED_VALUE"""),5.918224380774255E-5)</f>
        <v>0.00005918224381</v>
      </c>
      <c r="Q32" s="70">
        <f>IFERROR(__xludf.DUMMYFUNCTION("""COMPUTED_VALUE"""),6.867910197107629E-5)</f>
        <v>0.00006867910197</v>
      </c>
      <c r="R32" s="70">
        <f>IFERROR(__xludf.DUMMYFUNCTION("""COMPUTED_VALUE"""),6.867910197107629E-5)</f>
        <v>0.00006867910197</v>
      </c>
      <c r="S32" s="70">
        <f>IFERROR(__xludf.DUMMYFUNCTION("""COMPUTED_VALUE"""),5.789621734221598E-5)</f>
        <v>0.00005789621734</v>
      </c>
      <c r="T32" s="70">
        <f>IFERROR(__xludf.DUMMYFUNCTION("""COMPUTED_VALUE"""),5.1151809022163164E-5)</f>
        <v>0.00005115180902</v>
      </c>
      <c r="U32" s="70">
        <f>IFERROR(__xludf.DUMMYFUNCTION("""COMPUTED_VALUE"""),8.954081176497733E-5)</f>
        <v>0.00008954081176</v>
      </c>
      <c r="V32" s="70">
        <f>IFERROR(__xludf.DUMMYFUNCTION("""COMPUTED_VALUE"""),6.149742725020833E-5)</f>
        <v>0.00006149742725</v>
      </c>
      <c r="W32" s="70">
        <f>IFERROR(__xludf.DUMMYFUNCTION("""COMPUTED_VALUE"""),5.4272214362661666E-5)</f>
        <v>0.00005427221436</v>
      </c>
      <c r="X32" s="70">
        <f>IFERROR(__xludf.DUMMYFUNCTION("""COMPUTED_VALUE"""),3.943137426548799E-5)</f>
        <v>0.00003943137427</v>
      </c>
      <c r="Y32" s="70">
        <f>IFERROR(__xludf.DUMMYFUNCTION("""COMPUTED_VALUE"""),4.846628780109151E-5)</f>
        <v>0.0000484662878</v>
      </c>
      <c r="Z32" s="70">
        <f>IFERROR(__xludf.DUMMYFUNCTION("""COMPUTED_VALUE"""),6.754978041311091E-5)</f>
        <v>0.00006754978041</v>
      </c>
      <c r="AA32" s="70">
        <f>IFERROR(__xludf.DUMMYFUNCTION("""COMPUTED_VALUE"""),5.744699780398864E-5)</f>
        <v>0.0000574469978</v>
      </c>
      <c r="AB32" s="70">
        <f>IFERROR(__xludf.DUMMYFUNCTION("""COMPUTED_VALUE"""),3.9679756982872616E-5)</f>
        <v>0.00003967975698</v>
      </c>
      <c r="AC32" s="70">
        <f>IFERROR(__xludf.DUMMYFUNCTION("""COMPUTED_VALUE"""),4.503081533616989E-5)</f>
        <v>0.00004503081534</v>
      </c>
    </row>
    <row r="33" ht="30.0" customHeight="1">
      <c r="A33" s="64" t="str">
        <f>IFERROR(__xludf.DUMMYFUNCTION("""COMPUTED_VALUE"""),"Impact 32事件機率")</f>
        <v>Impact 32事件機率</v>
      </c>
      <c r="B33" s="67" t="str">
        <f t="shared" si="1"/>
        <v>0.010%</v>
      </c>
      <c r="C33" s="69">
        <f>IFERROR(__xludf.DUMMYFUNCTION("""COMPUTED_VALUE"""),1.535921152362194E-4)</f>
        <v>0.0001535921152</v>
      </c>
      <c r="D33" s="69">
        <f>IFERROR(__xludf.DUMMYFUNCTION("""COMPUTED_VALUE"""),9.603481613164319E-5)</f>
        <v>0.00009603481613</v>
      </c>
      <c r="E33" s="69">
        <f>IFERROR(__xludf.DUMMYFUNCTION("""COMPUTED_VALUE"""),1.1481123263758595E-4)</f>
        <v>0.0001148112326</v>
      </c>
      <c r="F33" s="69">
        <f>IFERROR(__xludf.DUMMYFUNCTION("""COMPUTED_VALUE"""),7.875394715400903E-5)</f>
        <v>0.00007875394715</v>
      </c>
      <c r="G33" s="69">
        <f>IFERROR(__xludf.DUMMYFUNCTION("""COMPUTED_VALUE"""),1.0794935707440614E-4)</f>
        <v>0.0001079493571</v>
      </c>
      <c r="H33" s="69">
        <f>IFERROR(__xludf.DUMMYFUNCTION("""COMPUTED_VALUE"""),1.3507935220611803E-4)</f>
        <v>0.0001350793522</v>
      </c>
      <c r="I33" s="69">
        <f>IFERROR(__xludf.DUMMYFUNCTION("""COMPUTED_VALUE"""),8.551126998638073E-5)</f>
        <v>0.00008551126999</v>
      </c>
      <c r="J33" s="69">
        <f>IFERROR(__xludf.DUMMYFUNCTION("""COMPUTED_VALUE"""),8.543239909763526E-5)</f>
        <v>0.0000854323991</v>
      </c>
      <c r="K33" s="69">
        <f>IFERROR(__xludf.DUMMYFUNCTION("""COMPUTED_VALUE"""),9.745654916666261E-5)</f>
        <v>0.00009745654917</v>
      </c>
      <c r="L33" s="69">
        <f>IFERROR(__xludf.DUMMYFUNCTION("""COMPUTED_VALUE"""),9.745654916666261E-5)</f>
        <v>0.00009745654917</v>
      </c>
      <c r="M33" s="69">
        <f>IFERROR(__xludf.DUMMYFUNCTION("""COMPUTED_VALUE"""),9.115528511538172E-5)</f>
        <v>0.00009115528512</v>
      </c>
      <c r="N33" s="69">
        <f>IFERROR(__xludf.DUMMYFUNCTION("""COMPUTED_VALUE"""),7.403193432801388E-5)</f>
        <v>0.00007403193433</v>
      </c>
      <c r="O33" s="69">
        <f>IFERROR(__xludf.DUMMYFUNCTION("""COMPUTED_VALUE"""),7.470004701184792E-5)</f>
        <v>0.00007470004701</v>
      </c>
      <c r="P33" s="69">
        <f>IFERROR(__xludf.DUMMYFUNCTION("""COMPUTED_VALUE"""),1.1008070495080332E-4)</f>
        <v>0.000110080705</v>
      </c>
      <c r="Q33" s="69">
        <f>IFERROR(__xludf.DUMMYFUNCTION("""COMPUTED_VALUE"""),1.2243728756409486E-4)</f>
        <v>0.0001224372876</v>
      </c>
      <c r="R33" s="69">
        <f>IFERROR(__xludf.DUMMYFUNCTION("""COMPUTED_VALUE"""),1.2243728756409486E-4)</f>
        <v>0.0001224372876</v>
      </c>
      <c r="S33" s="69">
        <f>IFERROR(__xludf.DUMMYFUNCTION("""COMPUTED_VALUE"""),1.0367996079706304E-4)</f>
        <v>0.0001036799608</v>
      </c>
      <c r="T33" s="69">
        <f>IFERROR(__xludf.DUMMYFUNCTION("""COMPUTED_VALUE"""),9.145632085584072E-5)</f>
        <v>0.00009145632086</v>
      </c>
      <c r="U33" s="69">
        <f>IFERROR(__xludf.DUMMYFUNCTION("""COMPUTED_VALUE"""),1.5966631027626937E-4)</f>
        <v>0.0001596663103</v>
      </c>
      <c r="V33" s="69">
        <f>IFERROR(__xludf.DUMMYFUNCTION("""COMPUTED_VALUE"""),1.1048544722953023E-4)</f>
        <v>0.0001104854472</v>
      </c>
      <c r="W33" s="69">
        <f>IFERROR(__xludf.DUMMYFUNCTION("""COMPUTED_VALUE"""),9.775609203685725E-5)</f>
        <v>0.00009775609204</v>
      </c>
      <c r="X33" s="69">
        <f>IFERROR(__xludf.DUMMYFUNCTION("""COMPUTED_VALUE"""),7.003719664412359E-5)</f>
        <v>0.00007003719664</v>
      </c>
      <c r="Y33" s="69">
        <f>IFERROR(__xludf.DUMMYFUNCTION("""COMPUTED_VALUE"""),8.73350831766128E-5)</f>
        <v>0.00008733508318</v>
      </c>
      <c r="Z33" s="69">
        <f>IFERROR(__xludf.DUMMYFUNCTION("""COMPUTED_VALUE"""),1.2024837704649573E-4)</f>
        <v>0.000120248377</v>
      </c>
      <c r="AA33" s="69">
        <f>IFERROR(__xludf.DUMMYFUNCTION("""COMPUTED_VALUE"""),1.0285107361386215E-4)</f>
        <v>0.0001028510736</v>
      </c>
      <c r="AB33" s="69">
        <f>IFERROR(__xludf.DUMMYFUNCTION("""COMPUTED_VALUE"""),7.094499012801395E-5)</f>
        <v>0.00007094499013</v>
      </c>
      <c r="AC33" s="69">
        <f>IFERROR(__xludf.DUMMYFUNCTION("""COMPUTED_VALUE"""),8.045556440354692E-5)</f>
        <v>0.0000804555644</v>
      </c>
    </row>
    <row r="34" ht="30.0" customHeight="1">
      <c r="A34" s="64" t="str">
        <f>IFERROR(__xludf.DUMMYFUNCTION("""COMPUTED_VALUE"""),"Impact 33事件機率")</f>
        <v>Impact 33事件機率</v>
      </c>
      <c r="B34" s="67" t="str">
        <f t="shared" si="1"/>
        <v>0.007%</v>
      </c>
      <c r="C34" s="70">
        <f>IFERROR(__xludf.DUMMYFUNCTION("""COMPUTED_VALUE"""),1.0441841739533901E-4)</f>
        <v>0.0001044184174</v>
      </c>
      <c r="D34" s="70">
        <f>IFERROR(__xludf.DUMMYFUNCTION("""COMPUTED_VALUE"""),6.471114428119272E-5)</f>
        <v>0.00006471114428</v>
      </c>
      <c r="E34" s="70">
        <f>IFERROR(__xludf.DUMMYFUNCTION("""COMPUTED_VALUE"""),7.776901106524808E-5)</f>
        <v>0.00007776901107</v>
      </c>
      <c r="F34" s="70">
        <f>IFERROR(__xludf.DUMMYFUNCTION("""COMPUTED_VALUE"""),5.328048158529008E-5)</f>
        <v>0.00005328048159</v>
      </c>
      <c r="G34" s="70">
        <f>IFERROR(__xludf.DUMMYFUNCTION("""COMPUTED_VALUE"""),7.308789601067561E-5)</f>
        <v>0.00007308789601</v>
      </c>
      <c r="H34" s="70">
        <f>IFERROR(__xludf.DUMMYFUNCTION("""COMPUTED_VALUE"""),9.145100942449859E-5)</f>
        <v>0.00009145100942</v>
      </c>
      <c r="I34" s="70">
        <f>IFERROR(__xludf.DUMMYFUNCTION("""COMPUTED_VALUE"""),5.793885934722676E-5)</f>
        <v>0.00005793885935</v>
      </c>
      <c r="J34" s="70">
        <f>IFERROR(__xludf.DUMMYFUNCTION("""COMPUTED_VALUE"""),5.789168629201349E-5)</f>
        <v>0.00005789168629</v>
      </c>
      <c r="K34" s="70">
        <f>IFERROR(__xludf.DUMMYFUNCTION("""COMPUTED_VALUE"""),6.641703662579713E-5)</f>
        <v>0.00006641703663</v>
      </c>
      <c r="L34" s="70">
        <f>IFERROR(__xludf.DUMMYFUNCTION("""COMPUTED_VALUE"""),6.641703662579713E-5)</f>
        <v>0.00006641703663</v>
      </c>
      <c r="M34" s="70">
        <f>IFERROR(__xludf.DUMMYFUNCTION("""COMPUTED_VALUE"""),6.144485491047737E-5)</f>
        <v>0.00006144485491</v>
      </c>
      <c r="N34" s="70">
        <f>IFERROR(__xludf.DUMMYFUNCTION("""COMPUTED_VALUE"""),5.033315624940989E-5)</f>
        <v>0.00005033315625</v>
      </c>
      <c r="O34" s="70">
        <f>IFERROR(__xludf.DUMMYFUNCTION("""COMPUTED_VALUE"""),5.034823447403966E-5)</f>
        <v>0.00005034823447</v>
      </c>
      <c r="P34" s="70">
        <f>IFERROR(__xludf.DUMMYFUNCTION("""COMPUTED_VALUE"""),7.522148090997917E-5)</f>
        <v>0.00007522148091</v>
      </c>
      <c r="Q34" s="70">
        <f>IFERROR(__xludf.DUMMYFUNCTION("""COMPUTED_VALUE"""),8.328143781667123E-5)</f>
        <v>0.00008328143782</v>
      </c>
      <c r="R34" s="70">
        <f>IFERROR(__xludf.DUMMYFUNCTION("""COMPUTED_VALUE"""),8.328143781667123E-5)</f>
        <v>0.00008328143782</v>
      </c>
      <c r="S34" s="70">
        <f>IFERROR(__xludf.DUMMYFUNCTION("""COMPUTED_VALUE"""),6.979414684126922E-5)</f>
        <v>0.00006979414684</v>
      </c>
      <c r="T34" s="70">
        <f>IFERROR(__xludf.DUMMYFUNCTION("""COMPUTED_VALUE"""),6.20530795343289E-5)</f>
        <v>0.00006205307953</v>
      </c>
      <c r="U34" s="70">
        <f>IFERROR(__xludf.DUMMYFUNCTION("""COMPUTED_VALUE"""),1.092112406894611E-4)</f>
        <v>0.0001092112407</v>
      </c>
      <c r="V34" s="70">
        <f>IFERROR(__xludf.DUMMYFUNCTION("""COMPUTED_VALUE"""),7.466743518365054E-5)</f>
        <v>0.00007466743518</v>
      </c>
      <c r="W34" s="70">
        <f>IFERROR(__xludf.DUMMYFUNCTION("""COMPUTED_VALUE"""),6.648617698585033E-5)</f>
        <v>0.00006648617699</v>
      </c>
      <c r="X34" s="70">
        <f>IFERROR(__xludf.DUMMYFUNCTION("""COMPUTED_VALUE"""),4.730981391901174E-5)</f>
        <v>0.00004730981392</v>
      </c>
      <c r="Y34" s="70">
        <f>IFERROR(__xludf.DUMMYFUNCTION("""COMPUTED_VALUE"""),5.971083807717682E-5)</f>
        <v>0.00005971083808</v>
      </c>
      <c r="Z34" s="70">
        <f>IFERROR(__xludf.DUMMYFUNCTION("""COMPUTED_VALUE"""),8.115051004381928E-5)</f>
        <v>0.00008115051004</v>
      </c>
      <c r="AA34" s="70">
        <f>IFERROR(__xludf.DUMMYFUNCTION("""COMPUTED_VALUE"""),6.917668432844445E-5)</f>
        <v>0.00006917668433</v>
      </c>
      <c r="AB34" s="70">
        <f>IFERROR(__xludf.DUMMYFUNCTION("""COMPUTED_VALUE"""),4.81361492981449E-5)</f>
        <v>0.0000481361493</v>
      </c>
      <c r="AC34" s="70">
        <f>IFERROR(__xludf.DUMMYFUNCTION("""COMPUTED_VALUE"""),5.482068345278648E-5)</f>
        <v>0.00005482068345</v>
      </c>
    </row>
    <row r="35" ht="30.0" customHeight="1">
      <c r="A35" s="64" t="str">
        <f>IFERROR(__xludf.DUMMYFUNCTION("""COMPUTED_VALUE"""),"Impact 34事件機率")</f>
        <v>Impact 34事件機率</v>
      </c>
      <c r="B35" s="67" t="str">
        <f t="shared" si="1"/>
        <v>0.006%</v>
      </c>
      <c r="C35" s="69">
        <f>IFERROR(__xludf.DUMMYFUNCTION("""COMPUTED_VALUE"""),9.457598642976306E-5)</f>
        <v>0.00009457598643</v>
      </c>
      <c r="D35" s="69">
        <f>IFERROR(__xludf.DUMMYFUNCTION("""COMPUTED_VALUE"""),5.8852911320721894E-5)</f>
        <v>0.00005885291132</v>
      </c>
      <c r="E35" s="69">
        <f>IFERROR(__xludf.DUMMYFUNCTION("""COMPUTED_VALUE"""),7.045645031682184E-5)</f>
        <v>0.00007045645032</v>
      </c>
      <c r="F35" s="69">
        <f>IFERROR(__xludf.DUMMYFUNCTION("""COMPUTED_VALUE"""),4.825066652961384E-5)</f>
        <v>0.00004825066653</v>
      </c>
      <c r="G35" s="69">
        <f>IFERROR(__xludf.DUMMYFUNCTION("""COMPUTED_VALUE"""),6.621758977943024E-5)</f>
        <v>0.00006621758978</v>
      </c>
      <c r="H35" s="69">
        <f>IFERROR(__xludf.DUMMYFUNCTION("""COMPUTED_VALUE"""),8.293145784514355E-5)</f>
        <v>0.00008293145785</v>
      </c>
      <c r="I35" s="69">
        <f>IFERROR(__xludf.DUMMYFUNCTION("""COMPUTED_VALUE"""),5.268226011331331E-5)</f>
        <v>0.00005268226011</v>
      </c>
      <c r="J35" s="69">
        <f>IFERROR(__xludf.DUMMYFUNCTION("""COMPUTED_VALUE"""),5.2643235611440864E-5)</f>
        <v>0.00005264323561</v>
      </c>
      <c r="K35" s="69">
        <f>IFERROR(__xludf.DUMMYFUNCTION("""COMPUTED_VALUE"""),6.003044219761922E-5)</f>
        <v>0.0000600304422</v>
      </c>
      <c r="L35" s="69">
        <f>IFERROR(__xludf.DUMMYFUNCTION("""COMPUTED_VALUE"""),6.003044219761922E-5)</f>
        <v>0.0000600304422</v>
      </c>
      <c r="M35" s="69">
        <f>IFERROR(__xludf.DUMMYFUNCTION("""COMPUTED_VALUE"""),5.57825711727163E-5)</f>
        <v>0.00005578257117</v>
      </c>
      <c r="N35" s="69">
        <f>IFERROR(__xludf.DUMMYFUNCTION("""COMPUTED_VALUE"""),4.536166716015486E-5)</f>
        <v>0.00004536166716</v>
      </c>
      <c r="O35" s="69">
        <f>IFERROR(__xludf.DUMMYFUNCTION("""COMPUTED_VALUE"""),4.5601786126614196E-5)</f>
        <v>0.00004560178613</v>
      </c>
      <c r="P35" s="69">
        <f>IFERROR(__xludf.DUMMYFUNCTION("""COMPUTED_VALUE"""),6.775136388438565E-5)</f>
        <v>0.00006775136388</v>
      </c>
      <c r="Q35" s="69">
        <f>IFERROR(__xludf.DUMMYFUNCTION("""COMPUTED_VALUE"""),7.542863734557276E-5)</f>
        <v>0.00007542863735</v>
      </c>
      <c r="R35" s="69">
        <f>IFERROR(__xludf.DUMMYFUNCTION("""COMPUTED_VALUE"""),7.542863734557276E-5)</f>
        <v>0.00007542863735</v>
      </c>
      <c r="S35" s="69">
        <f>IFERROR(__xludf.DUMMYFUNCTION("""COMPUTED_VALUE"""),6.357244246757921E-5)</f>
        <v>0.00006357244247</v>
      </c>
      <c r="T35" s="69">
        <f>IFERROR(__xludf.DUMMYFUNCTION("""COMPUTED_VALUE"""),5.621171502823023E-5)</f>
        <v>0.00005621171503</v>
      </c>
      <c r="U35" s="69">
        <f>IFERROR(__xludf.DUMMYFUNCTION("""COMPUTED_VALUE"""),9.841619156117197E-5)</f>
        <v>0.00009841619156</v>
      </c>
      <c r="V35" s="69">
        <f>IFERROR(__xludf.DUMMYFUNCTION("""COMPUTED_VALUE"""),6.76573445581983E-5)</f>
        <v>0.00006765734456</v>
      </c>
      <c r="W35" s="69">
        <f>IFERROR(__xludf.DUMMYFUNCTION("""COMPUTED_VALUE"""),6.0046684987894084E-5)</f>
        <v>0.00006004668499</v>
      </c>
      <c r="X35" s="69">
        <f>IFERROR(__xludf.DUMMYFUNCTION("""COMPUTED_VALUE"""),4.295964477234915E-5)</f>
        <v>0.00004295964477</v>
      </c>
      <c r="Y35" s="69">
        <f>IFERROR(__xludf.DUMMYFUNCTION("""COMPUTED_VALUE"""),5.3966745725268725E-5)</f>
        <v>0.00005396674573</v>
      </c>
      <c r="Z35" s="69">
        <f>IFERROR(__xludf.DUMMYFUNCTION("""COMPUTED_VALUE"""),7.398500784247498E-5)</f>
        <v>0.00007398500784</v>
      </c>
      <c r="AA35" s="69">
        <f>IFERROR(__xludf.DUMMYFUNCTION("""COMPUTED_VALUE"""),6.29762704220218E-5)</f>
        <v>0.00006297627042</v>
      </c>
      <c r="AB35" s="69">
        <f>IFERROR(__xludf.DUMMYFUNCTION("""COMPUTED_VALUE"""),4.3604854540809016E-5)</f>
        <v>0.00004360485454</v>
      </c>
      <c r="AC35" s="69">
        <f>IFERROR(__xludf.DUMMYFUNCTION("""COMPUTED_VALUE"""),4.9502091230728404E-5)</f>
        <v>0.00004950209123</v>
      </c>
    </row>
    <row r="36" ht="30.0" customHeight="1">
      <c r="A36" s="64" t="str">
        <f>IFERROR(__xludf.DUMMYFUNCTION("""COMPUTED_VALUE"""),"Impact 35事件機率")</f>
        <v>Impact 35事件機率</v>
      </c>
      <c r="B36" s="67" t="str">
        <f t="shared" si="1"/>
        <v>0.007%</v>
      </c>
      <c r="C36" s="70">
        <f>IFERROR(__xludf.DUMMYFUNCTION("""COMPUTED_VALUE"""),1.0399070869781988E-4)</f>
        <v>0.0001039907087</v>
      </c>
      <c r="D36" s="70">
        <f>IFERROR(__xludf.DUMMYFUNCTION("""COMPUTED_VALUE"""),6.459752281989152E-5)</f>
        <v>0.00006459752282</v>
      </c>
      <c r="E36" s="70">
        <f>IFERROR(__xludf.DUMMYFUNCTION("""COMPUTED_VALUE"""),7.725273303289304E-5)</f>
        <v>0.00007725273303</v>
      </c>
      <c r="F36" s="70">
        <f>IFERROR(__xludf.DUMMYFUNCTION("""COMPUTED_VALUE"""),5.2813014009970786E-5)</f>
        <v>0.00005281301401</v>
      </c>
      <c r="G36" s="70">
        <f>IFERROR(__xludf.DUMMYFUNCTION("""COMPUTED_VALUE"""),7.258610001779316E-5)</f>
        <v>0.00007258610002</v>
      </c>
      <c r="H36" s="70">
        <f>IFERROR(__xludf.DUMMYFUNCTION("""COMPUTED_VALUE"""),9.072613262874899E-5)</f>
        <v>0.00009072613263</v>
      </c>
      <c r="I36" s="70">
        <f>IFERROR(__xludf.DUMMYFUNCTION("""COMPUTED_VALUE"""),5.7634567388658786E-5)</f>
        <v>0.00005763456739</v>
      </c>
      <c r="J36" s="70">
        <f>IFERROR(__xludf.DUMMYFUNCTION("""COMPUTED_VALUE"""),5.758742938402134E-5)</f>
        <v>0.00005758742938</v>
      </c>
      <c r="K36" s="70">
        <f>IFERROR(__xludf.DUMMYFUNCTION("""COMPUTED_VALUE"""),6.595602337246464E-5)</f>
        <v>0.00006595602337</v>
      </c>
      <c r="L36" s="70">
        <f>IFERROR(__xludf.DUMMYFUNCTION("""COMPUTED_VALUE"""),6.595602337246464E-5)</f>
        <v>0.00006595602337</v>
      </c>
      <c r="M36" s="70">
        <f>IFERROR(__xludf.DUMMYFUNCTION("""COMPUTED_VALUE"""),6.118364840857394E-5)</f>
        <v>0.00006118364841</v>
      </c>
      <c r="N36" s="70">
        <f>IFERROR(__xludf.DUMMYFUNCTION("""COMPUTED_VALUE"""),4.9902519404211404E-5)</f>
        <v>0.0000499025194</v>
      </c>
      <c r="O36" s="70">
        <f>IFERROR(__xludf.DUMMYFUNCTION("""COMPUTED_VALUE"""),5.0093171163628474E-5)</f>
        <v>0.00005009317116</v>
      </c>
      <c r="P36" s="70">
        <f>IFERROR(__xludf.DUMMYFUNCTION("""COMPUTED_VALUE"""),7.479384079639079E-5)</f>
        <v>0.0000747938408</v>
      </c>
      <c r="Q36" s="70">
        <f>IFERROR(__xludf.DUMMYFUNCTION("""COMPUTED_VALUE"""),8.29668920091089E-5)</f>
        <v>0.00008296689201</v>
      </c>
      <c r="R36" s="70">
        <f>IFERROR(__xludf.DUMMYFUNCTION("""COMPUTED_VALUE"""),8.29668920091089E-5)</f>
        <v>0.00008296689201</v>
      </c>
      <c r="S36" s="70">
        <f>IFERROR(__xludf.DUMMYFUNCTION("""COMPUTED_VALUE"""),6.987797398941158E-5)</f>
        <v>0.00006987797399</v>
      </c>
      <c r="T36" s="70">
        <f>IFERROR(__xludf.DUMMYFUNCTION("""COMPUTED_VALUE"""),6.171262762878606E-5)</f>
        <v>0.00006171262763</v>
      </c>
      <c r="U36" s="70">
        <f>IFERROR(__xludf.DUMMYFUNCTION("""COMPUTED_VALUE"""),1.0799187061892247E-4)</f>
        <v>0.0001079918706</v>
      </c>
      <c r="V36" s="70">
        <f>IFERROR(__xludf.DUMMYFUNCTION("""COMPUTED_VALUE"""),7.404577379016035E-5)</f>
        <v>0.00007404577379</v>
      </c>
      <c r="W36" s="70">
        <f>IFERROR(__xludf.DUMMYFUNCTION("""COMPUTED_VALUE"""),6.577139916150367E-5)</f>
        <v>0.00006577139916</v>
      </c>
      <c r="X36" s="70">
        <f>IFERROR(__xludf.DUMMYFUNCTION("""COMPUTED_VALUE"""),4.700709637675337E-5)</f>
        <v>0.00004700709638</v>
      </c>
      <c r="Y36" s="70">
        <f>IFERROR(__xludf.DUMMYFUNCTION("""COMPUTED_VALUE"""),5.9199726223736326E-5)</f>
        <v>0.00005919972622</v>
      </c>
      <c r="Z36" s="70">
        <f>IFERROR(__xludf.DUMMYFUNCTION("""COMPUTED_VALUE"""),8.09223776787255E-5)</f>
        <v>0.00008092237768</v>
      </c>
      <c r="AA36" s="70">
        <f>IFERROR(__xludf.DUMMYFUNCTION("""COMPUTED_VALUE"""),6.930489799572895E-5)</f>
        <v>0.000069304898</v>
      </c>
      <c r="AB36" s="70">
        <f>IFERROR(__xludf.DUMMYFUNCTION("""COMPUTED_VALUE"""),4.787205211107477E-5)</f>
        <v>0.00004787205211</v>
      </c>
      <c r="AC36" s="70">
        <f>IFERROR(__xludf.DUMMYFUNCTION("""COMPUTED_VALUE"""),5.4296108431962936E-5)</f>
        <v>0.00005429610843</v>
      </c>
    </row>
    <row r="37" ht="30.0" customHeight="1">
      <c r="A37" s="64" t="str">
        <f>IFERROR(__xludf.DUMMYFUNCTION("""COMPUTED_VALUE"""),"Impact 36事件機率")</f>
        <v>Impact 36事件機率</v>
      </c>
      <c r="B37" s="67" t="str">
        <f t="shared" si="1"/>
        <v>6.834%</v>
      </c>
      <c r="C37" s="69">
        <f>IFERROR(__xludf.DUMMYFUNCTION("""COMPUTED_VALUE"""),0.07069262531414934)</f>
        <v>0.07069262531</v>
      </c>
      <c r="D37" s="69">
        <f>IFERROR(__xludf.DUMMYFUNCTION("""COMPUTED_VALUE"""),0.07811943845366758)</f>
        <v>0.07811943845</v>
      </c>
      <c r="E37" s="69">
        <f>IFERROR(__xludf.DUMMYFUNCTION("""COMPUTED_VALUE"""),0.07069262531414934)</f>
        <v>0.07069262531</v>
      </c>
      <c r="F37" s="69">
        <f>IFERROR(__xludf.DUMMYFUNCTION("""COMPUTED_VALUE"""),0.07811943845366758)</f>
        <v>0.07811943845</v>
      </c>
      <c r="G37" s="69">
        <f>IFERROR(__xludf.DUMMYFUNCTION("""COMPUTED_VALUE"""),0.0745696697580539)</f>
        <v>0.07456966976</v>
      </c>
      <c r="H37" s="69">
        <f>IFERROR(__xludf.DUMMYFUNCTION("""COMPUTED_VALUE"""),0.07067949193427076)</f>
        <v>0.07067949193</v>
      </c>
      <c r="I37" s="69">
        <f>IFERROR(__xludf.DUMMYFUNCTION("""COMPUTED_VALUE"""),0.054824975833642375)</f>
        <v>0.05482497583</v>
      </c>
      <c r="J37" s="69">
        <f>IFERROR(__xludf.DUMMYFUNCTION("""COMPUTED_VALUE"""),0.05482787641800884)</f>
        <v>0.05482787642</v>
      </c>
      <c r="K37" s="69">
        <f>IFERROR(__xludf.DUMMYFUNCTION("""COMPUTED_VALUE"""),0.060262624321500584)</f>
        <v>0.06026262432</v>
      </c>
      <c r="L37" s="69">
        <f>IFERROR(__xludf.DUMMYFUNCTION("""COMPUTED_VALUE"""),0.060262624321500584)</f>
        <v>0.06026262432</v>
      </c>
      <c r="M37" s="69">
        <f>IFERROR(__xludf.DUMMYFUNCTION("""COMPUTED_VALUE"""),0.054838064314232035)</f>
        <v>0.05483806431</v>
      </c>
      <c r="N37" s="69">
        <f>IFERROR(__xludf.DUMMYFUNCTION("""COMPUTED_VALUE"""),0.060599231830431116)</f>
        <v>0.06059923183</v>
      </c>
      <c r="O37" s="69">
        <f>IFERROR(__xludf.DUMMYFUNCTION("""COMPUTED_VALUE"""),0.054838064314232035)</f>
        <v>0.05483806431</v>
      </c>
      <c r="P37" s="69">
        <f>IFERROR(__xludf.DUMMYFUNCTION("""COMPUTED_VALUE"""),0.06874890507646472)</f>
        <v>0.06874890508</v>
      </c>
      <c r="Q37" s="69">
        <f>IFERROR(__xludf.DUMMYFUNCTION("""COMPUTED_VALUE"""),0.07811530566508074)</f>
        <v>0.07811530567</v>
      </c>
      <c r="R37" s="69">
        <f>IFERROR(__xludf.DUMMYFUNCTION("""COMPUTED_VALUE"""),0.07811530566508074)</f>
        <v>0.07811530567</v>
      </c>
      <c r="S37" s="69">
        <f>IFERROR(__xludf.DUMMYFUNCTION("""COMPUTED_VALUE"""),0.08635858106243706)</f>
        <v>0.08635858106</v>
      </c>
      <c r="T37" s="69">
        <f>IFERROR(__xludf.DUMMYFUNCTION("""COMPUTED_VALUE"""),0.07811943845366749)</f>
        <v>0.07811943845</v>
      </c>
      <c r="U37" s="69">
        <f>IFERROR(__xludf.DUMMYFUNCTION("""COMPUTED_VALUE"""),0.07905316451716525)</f>
        <v>0.07905316452</v>
      </c>
      <c r="V37" s="69">
        <f>IFERROR(__xludf.DUMMYFUNCTION("""COMPUTED_VALUE"""),0.08634253723826403)</f>
        <v>0.08634253724</v>
      </c>
      <c r="W37" s="69">
        <f>IFERROR(__xludf.DUMMYFUNCTION("""COMPUTED_VALUE"""),0.06061049213678307)</f>
        <v>0.06061049214</v>
      </c>
      <c r="X37" s="69">
        <f>IFERROR(__xludf.DUMMYFUNCTION("""COMPUTED_VALUE"""),0.06697809833889763)</f>
        <v>0.06697809834</v>
      </c>
      <c r="Y37" s="69">
        <f>IFERROR(__xludf.DUMMYFUNCTION("""COMPUTED_VALUE"""),0.06322154048386144)</f>
        <v>0.06322154048</v>
      </c>
      <c r="Z37" s="69">
        <f>IFERROR(__xludf.DUMMYFUNCTION("""COMPUTED_VALUE"""),0.060599231830431116)</f>
        <v>0.06059923183</v>
      </c>
      <c r="AA37" s="69">
        <f>IFERROR(__xludf.DUMMYFUNCTION("""COMPUTED_VALUE"""),0.06699054394065503)</f>
        <v>0.06699054394</v>
      </c>
      <c r="AB37" s="69">
        <f>IFERROR(__xludf.DUMMYFUNCTION("""COMPUTED_VALUE"""),0.060599231830431116)</f>
        <v>0.06059923183</v>
      </c>
      <c r="AC37" s="69">
        <f>IFERROR(__xludf.DUMMYFUNCTION("""COMPUTED_VALUE"""),0.06699054394065503)</f>
        <v>0.06699054394</v>
      </c>
    </row>
    <row r="38" ht="30.0" customHeight="1">
      <c r="A38" s="64" t="str">
        <f>IFERROR(__xludf.DUMMYFUNCTION("""COMPUTED_VALUE"""),"Impact 37事件機率")</f>
        <v>Impact 37事件機率</v>
      </c>
      <c r="B38" s="67" t="str">
        <f t="shared" si="1"/>
        <v>2.863%</v>
      </c>
      <c r="C38" s="70">
        <f>IFERROR(__xludf.DUMMYFUNCTION("""COMPUTED_VALUE"""),0.0314836354472619)</f>
        <v>0.03148363545</v>
      </c>
      <c r="D38" s="70">
        <f>IFERROR(__xludf.DUMMYFUNCTION("""COMPUTED_VALUE"""),0.026271160393988573)</f>
        <v>0.02627116039</v>
      </c>
      <c r="E38" s="70">
        <f>IFERROR(__xludf.DUMMYFUNCTION("""COMPUTED_VALUE"""),0.034004008266664026)</f>
        <v>0.03400400827</v>
      </c>
      <c r="F38" s="70">
        <f>IFERROR(__xludf.DUMMYFUNCTION("""COMPUTED_VALUE"""),0.029036545698619062)</f>
        <v>0.0290365457</v>
      </c>
      <c r="G38" s="70">
        <f>IFERROR(__xludf.DUMMYFUNCTION("""COMPUTED_VALUE"""),0.030357788987129198)</f>
        <v>0.03035778899</v>
      </c>
      <c r="H38" s="70">
        <f>IFERROR(__xludf.DUMMYFUNCTION("""COMPUTED_VALUE"""),0.03147778637117439)</f>
        <v>0.03147778637</v>
      </c>
      <c r="I38" s="70">
        <f>IFERROR(__xludf.DUMMYFUNCTION("""COMPUTED_VALUE"""),0.02698701853530071)</f>
        <v>0.02698701854</v>
      </c>
      <c r="J38" s="70">
        <f>IFERROR(__xludf.DUMMYFUNCTION("""COMPUTED_VALUE"""),0.026988446317490686)</f>
        <v>0.02698844632</v>
      </c>
      <c r="K38" s="70">
        <f>IFERROR(__xludf.DUMMYFUNCTION("""COMPUTED_VALUE"""),0.02075993281073655)</f>
        <v>0.02075993281</v>
      </c>
      <c r="L38" s="70">
        <f>IFERROR(__xludf.DUMMYFUNCTION("""COMPUTED_VALUE"""),0.02075993281073655)</f>
        <v>0.02075993281</v>
      </c>
      <c r="M38" s="70">
        <f>IFERROR(__xludf.DUMMYFUNCTION("""COMPUTED_VALUE"""),0.02442265537360404)</f>
        <v>0.02442265537</v>
      </c>
      <c r="N38" s="70">
        <f>IFERROR(__xludf.DUMMYFUNCTION("""COMPUTED_VALUE"""),0.021890904505995394)</f>
        <v>0.02189090451</v>
      </c>
      <c r="O38" s="70">
        <f>IFERROR(__xludf.DUMMYFUNCTION("""COMPUTED_VALUE"""),0.026993461202404537)</f>
        <v>0.0269934612</v>
      </c>
      <c r="P38" s="70">
        <f>IFERROR(__xludf.DUMMYFUNCTION("""COMPUTED_VALUE"""),0.028230416277509267)</f>
        <v>0.02823041628</v>
      </c>
      <c r="Q38" s="70">
        <f>IFERROR(__xludf.DUMMYFUNCTION("""COMPUTED_VALUE"""),0.03560815508433484)</f>
        <v>0.03560815508</v>
      </c>
      <c r="R38" s="70">
        <f>IFERROR(__xludf.DUMMYFUNCTION("""COMPUTED_VALUE"""),0.03560815508433484)</f>
        <v>0.03560815508</v>
      </c>
      <c r="S38" s="70">
        <f>IFERROR(__xludf.DUMMYFUNCTION("""COMPUTED_VALUE"""),0.03209898759032401)</f>
        <v>0.03209898759</v>
      </c>
      <c r="T38" s="70">
        <f>IFERROR(__xludf.DUMMYFUNCTION("""COMPUTED_VALUE"""),0.03845347310162841)</f>
        <v>0.0384534731</v>
      </c>
      <c r="U38" s="70">
        <f>IFERROR(__xludf.DUMMYFUNCTION("""COMPUTED_VALUE"""),0.03449608546646853)</f>
        <v>0.03449608547</v>
      </c>
      <c r="V38" s="70">
        <f>IFERROR(__xludf.DUMMYFUNCTION("""COMPUTED_VALUE"""),0.029036545698619062)</f>
        <v>0.0290365457</v>
      </c>
      <c r="W38" s="70">
        <f>IFERROR(__xludf.DUMMYFUNCTION("""COMPUTED_VALUE"""),0.02883681447852206)</f>
        <v>0.02883681448</v>
      </c>
      <c r="X38" s="70">
        <f>IFERROR(__xludf.DUMMYFUNCTION("""COMPUTED_VALUE"""),0.02489537369597791)</f>
        <v>0.0248953737</v>
      </c>
      <c r="Y38" s="70">
        <f>IFERROR(__xludf.DUMMYFUNCTION("""COMPUTED_VALUE"""),0.02684475809903925)</f>
        <v>0.0268447581</v>
      </c>
      <c r="Z38" s="70">
        <f>IFERROR(__xludf.DUMMYFUNCTION("""COMPUTED_VALUE"""),0.026988446317490686)</f>
        <v>0.02698844632</v>
      </c>
      <c r="AA38" s="70">
        <f>IFERROR(__xludf.DUMMYFUNCTION("""COMPUTED_VALUE"""),0.022931143478601725)</f>
        <v>0.02293114348</v>
      </c>
      <c r="AB38" s="70">
        <f>IFERROR(__xludf.DUMMYFUNCTION("""COMPUTED_VALUE"""),0.0298293354035422)</f>
        <v>0.0298293354</v>
      </c>
      <c r="AC38" s="70">
        <f>IFERROR(__xludf.DUMMYFUNCTION("""COMPUTED_VALUE"""),0.02489999965452714)</f>
        <v>0.02489999965</v>
      </c>
    </row>
    <row r="39" ht="30.0" customHeight="1">
      <c r="A39" s="64" t="str">
        <f>IFERROR(__xludf.DUMMYFUNCTION("""COMPUTED_VALUE"""),"Impact 38事件機率")</f>
        <v>Impact 38事件機率</v>
      </c>
      <c r="B39" s="67" t="str">
        <f t="shared" si="1"/>
        <v>0.792%</v>
      </c>
      <c r="C39" s="69">
        <f>IFERROR(__xludf.DUMMYFUNCTION("""COMPUTED_VALUE"""),0.009875499328580473)</f>
        <v>0.009875499329</v>
      </c>
      <c r="D39" s="69">
        <f>IFERROR(__xludf.DUMMYFUNCTION("""COMPUTED_VALUE"""),0.009004136802619576)</f>
        <v>0.009004136803</v>
      </c>
      <c r="E39" s="69">
        <f>IFERROR(__xludf.DUMMYFUNCTION("""COMPUTED_VALUE"""),0.008281377571397406)</f>
        <v>0.008281377571</v>
      </c>
      <c r="F39" s="69">
        <f>IFERROR(__xludf.DUMMYFUNCTION("""COMPUTED_VALUE"""),0.006637695757583144)</f>
        <v>0.006637695758</v>
      </c>
      <c r="G39" s="69">
        <f>IFERROR(__xludf.DUMMYFUNCTION("""COMPUTED_VALUE"""),0.0082393491339055)</f>
        <v>0.008239349134</v>
      </c>
      <c r="H39" s="69">
        <f>IFERROR(__xludf.DUMMYFUNCTION("""COMPUTED_VALUE"""),0.010290730302527003)</f>
        <v>0.0102907303</v>
      </c>
      <c r="I39" s="69">
        <f>IFERROR(__xludf.DUMMYFUNCTION("""COMPUTED_VALUE"""),0.005876488610259996)</f>
        <v>0.00587648861</v>
      </c>
      <c r="J39" s="69">
        <f>IFERROR(__xludf.DUMMYFUNCTION("""COMPUTED_VALUE"""),0.00587804380858892)</f>
        <v>0.005878043809</v>
      </c>
      <c r="K39" s="69">
        <f>IFERROR(__xludf.DUMMYFUNCTION("""COMPUTED_VALUE"""),0.006391774474160666)</f>
        <v>0.006391774474</v>
      </c>
      <c r="L39" s="69">
        <f>IFERROR(__xludf.DUMMYFUNCTION("""COMPUTED_VALUE"""),0.006391774474160666)</f>
        <v>0.006391774474</v>
      </c>
      <c r="M39" s="69">
        <f>IFERROR(__xludf.DUMMYFUNCTION("""COMPUTED_VALUE"""),0.008325438498290368)</f>
        <v>0.008325438498</v>
      </c>
      <c r="N39" s="69">
        <f>IFERROR(__xludf.DUMMYFUNCTION("""COMPUTED_VALUE"""),0.005485603797751812)</f>
        <v>0.005485603798</v>
      </c>
      <c r="O39" s="69">
        <f>IFERROR(__xludf.DUMMYFUNCTION("""COMPUTED_VALUE"""),0.0061366119422164005)</f>
        <v>0.006136611942</v>
      </c>
      <c r="P39" s="69">
        <f>IFERROR(__xludf.DUMMYFUNCTION("""COMPUTED_VALUE"""),0.007927730013358085)</f>
        <v>0.007927730013</v>
      </c>
      <c r="Q39" s="69">
        <f>IFERROR(__xludf.DUMMYFUNCTION("""COMPUTED_VALUE"""),0.011205540053888359)</f>
        <v>0.01120554005</v>
      </c>
      <c r="R39" s="69">
        <f>IFERROR(__xludf.DUMMYFUNCTION("""COMPUTED_VALUE"""),0.011205540053888359)</f>
        <v>0.01120554005</v>
      </c>
      <c r="S39" s="69">
        <f>IFERROR(__xludf.DUMMYFUNCTION("""COMPUTED_VALUE"""),0.006950699659301908)</f>
        <v>0.006950699659</v>
      </c>
      <c r="T39" s="69">
        <f>IFERROR(__xludf.DUMMYFUNCTION("""COMPUTED_VALUE"""),0.009101735980132366)</f>
        <v>0.00910173598</v>
      </c>
      <c r="U39" s="69">
        <f>IFERROR(__xludf.DUMMYFUNCTION("""COMPUTED_VALUE"""),0.010544266614941934)</f>
        <v>0.01054426661</v>
      </c>
      <c r="V39" s="69">
        <f>IFERROR(__xludf.DUMMYFUNCTION("""COMPUTED_VALUE"""),0.009844770271744383)</f>
        <v>0.009844770272</v>
      </c>
      <c r="W39" s="69">
        <f>IFERROR(__xludf.DUMMYFUNCTION("""COMPUTED_VALUE"""),0.007432131584600666)</f>
        <v>0.007432131585</v>
      </c>
      <c r="X39" s="69">
        <f>IFERROR(__xludf.DUMMYFUNCTION("""COMPUTED_VALUE"""),0.0056282990067737584)</f>
        <v>0.005628299007</v>
      </c>
      <c r="Y39" s="69">
        <f>IFERROR(__xludf.DUMMYFUNCTION("""COMPUTED_VALUE"""),0.007063722762993846)</f>
        <v>0.007063722763</v>
      </c>
      <c r="Z39" s="69">
        <f>IFERROR(__xludf.DUMMYFUNCTION("""COMPUTED_VALUE"""),0.008723462370397133)</f>
        <v>0.00872346237</v>
      </c>
      <c r="AA39" s="69">
        <f>IFERROR(__xludf.DUMMYFUNCTION("""COMPUTED_VALUE"""),0.006831605465154986)</f>
        <v>0.006831605465</v>
      </c>
      <c r="AB39" s="69">
        <f>IFERROR(__xludf.DUMMYFUNCTION("""COMPUTED_VALUE"""),0.007060447689297533)</f>
        <v>0.007060447689</v>
      </c>
      <c r="AC39" s="69">
        <f>IFERROR(__xludf.DUMMYFUNCTION("""COMPUTED_VALUE"""),0.005395128150738473)</f>
        <v>0.005395128151</v>
      </c>
    </row>
    <row r="40" ht="30.0" customHeight="1">
      <c r="A40" s="64" t="str">
        <f>IFERROR(__xludf.DUMMYFUNCTION("""COMPUTED_VALUE"""),"Impact 39事件機率")</f>
        <v>Impact 39事件機率</v>
      </c>
      <c r="B40" s="67" t="str">
        <f t="shared" si="1"/>
        <v>0.025%</v>
      </c>
      <c r="C40" s="70">
        <f>IFERROR(__xludf.DUMMYFUNCTION("""COMPUTED_VALUE"""),3.72024166643866E-4)</f>
        <v>0.0003720241666</v>
      </c>
      <c r="D40" s="70">
        <f>IFERROR(__xludf.DUMMYFUNCTION("""COMPUTED_VALUE"""),2.3370040287013335E-4)</f>
        <v>0.0002337004029</v>
      </c>
      <c r="E40" s="70">
        <f>IFERROR(__xludf.DUMMYFUNCTION("""COMPUTED_VALUE"""),2.777963735556973E-4)</f>
        <v>0.0002777963736</v>
      </c>
      <c r="F40" s="70">
        <f>IFERROR(__xludf.DUMMYFUNCTION("""COMPUTED_VALUE"""),1.9271339135930947E-4)</f>
        <v>0.0001927133914</v>
      </c>
      <c r="G40" s="70">
        <f>IFERROR(__xludf.DUMMYFUNCTION("""COMPUTED_VALUE"""),2.586161816700727E-4)</f>
        <v>0.0002586161817</v>
      </c>
      <c r="H40" s="70">
        <f>IFERROR(__xludf.DUMMYFUNCTION("""COMPUTED_VALUE"""),3.3044510183161195E-4)</f>
        <v>0.0003304451018</v>
      </c>
      <c r="I40" s="70">
        <f>IFERROR(__xludf.DUMMYFUNCTION("""COMPUTED_VALUE"""),2.0924196652562444E-4)</f>
        <v>0.0002092419665</v>
      </c>
      <c r="J40" s="70">
        <f>IFERROR(__xludf.DUMMYFUNCTION("""COMPUTED_VALUE"""),2.0908762121970916E-4)</f>
        <v>0.0002090876212</v>
      </c>
      <c r="K40" s="70">
        <f>IFERROR(__xludf.DUMMYFUNCTION("""COMPUTED_VALUE"""),2.353074772737058E-4)</f>
        <v>0.0002353074773</v>
      </c>
      <c r="L40" s="70">
        <f>IFERROR(__xludf.DUMMYFUNCTION("""COMPUTED_VALUE"""),2.353074772737058E-4)</f>
        <v>0.0002353074773</v>
      </c>
      <c r="M40" s="70">
        <f>IFERROR(__xludf.DUMMYFUNCTION("""COMPUTED_VALUE"""),2.2231600601170748E-4)</f>
        <v>0.000222316006</v>
      </c>
      <c r="N40" s="70">
        <f>IFERROR(__xludf.DUMMYFUNCTION("""COMPUTED_VALUE"""),1.792295416991648E-4)</f>
        <v>0.0001792295417</v>
      </c>
      <c r="O40" s="70">
        <f>IFERROR(__xludf.DUMMYFUNCTION("""COMPUTED_VALUE"""),1.826366349902022E-4)</f>
        <v>0.000182636635</v>
      </c>
      <c r="P40" s="70">
        <f>IFERROR(__xludf.DUMMYFUNCTION("""COMPUTED_VALUE"""),2.5943145434750197E-4)</f>
        <v>0.0002594314543</v>
      </c>
      <c r="Q40" s="70">
        <f>IFERROR(__xludf.DUMMYFUNCTION("""COMPUTED_VALUE"""),2.978829505565746E-4)</f>
        <v>0.0002978829506</v>
      </c>
      <c r="R40" s="70">
        <f>IFERROR(__xludf.DUMMYFUNCTION("""COMPUTED_VALUE"""),2.978829505565746E-4)</f>
        <v>0.0002978829506</v>
      </c>
      <c r="S40" s="70">
        <f>IFERROR(__xludf.DUMMYFUNCTION("""COMPUTED_VALUE"""),2.530413785002176E-4)</f>
        <v>0.0002530413785</v>
      </c>
      <c r="T40" s="70">
        <f>IFERROR(__xludf.DUMMYFUNCTION("""COMPUTED_VALUE"""),2.2174898393459812E-4)</f>
        <v>0.0002217489839</v>
      </c>
      <c r="U40" s="70">
        <f>IFERROR(__xludf.DUMMYFUNCTION("""COMPUTED_VALUE"""),3.8373497200828007E-4)</f>
        <v>0.000383734972</v>
      </c>
      <c r="V40" s="70">
        <f>IFERROR(__xludf.DUMMYFUNCTION("""COMPUTED_VALUE"""),2.6970936762857757E-4)</f>
        <v>0.0002697093676</v>
      </c>
      <c r="W40" s="70">
        <f>IFERROR(__xludf.DUMMYFUNCTION("""COMPUTED_VALUE"""),2.364810200134868E-4)</f>
        <v>0.00023648102</v>
      </c>
      <c r="X40" s="70">
        <f>IFERROR(__xludf.DUMMYFUNCTION("""COMPUTED_VALUE"""),1.714008501012758E-4)</f>
        <v>0.0001714008501</v>
      </c>
      <c r="Y40" s="70">
        <f>IFERROR(__xludf.DUMMYFUNCTION("""COMPUTED_VALUE"""),2.096865042063914E-4)</f>
        <v>0.0002096865042</v>
      </c>
      <c r="Z40" s="70">
        <f>IFERROR(__xludf.DUMMYFUNCTION("""COMPUTED_VALUE"""),2.9457873562204183E-4)</f>
        <v>0.0002945787356</v>
      </c>
      <c r="AA40" s="70">
        <f>IFERROR(__xludf.DUMMYFUNCTION("""COMPUTED_VALUE"""),2.5106787301185904E-4)</f>
        <v>0.000251067873</v>
      </c>
      <c r="AB40" s="70">
        <f>IFERROR(__xludf.DUMMYFUNCTION("""COMPUTED_VALUE"""),1.7201631695784998E-4)</f>
        <v>0.000172016317</v>
      </c>
      <c r="AC40" s="70">
        <f>IFERROR(__xludf.DUMMYFUNCTION("""COMPUTED_VALUE"""),1.9407270928156306E-4)</f>
        <v>0.0001940727093</v>
      </c>
    </row>
    <row r="41" ht="30.0" customHeight="1">
      <c r="A41" s="64" t="str">
        <f>IFERROR(__xludf.DUMMYFUNCTION("""COMPUTED_VALUE"""),"Impact 40事件機率")</f>
        <v>Impact 40事件機率</v>
      </c>
      <c r="B41" s="67" t="str">
        <f t="shared" si="1"/>
        <v>0.017%</v>
      </c>
      <c r="C41" s="69">
        <f>IFERROR(__xludf.DUMMYFUNCTION("""COMPUTED_VALUE"""),2.5297030753308324E-4)</f>
        <v>0.0002529703075</v>
      </c>
      <c r="D41" s="69">
        <f>IFERROR(__xludf.DUMMYFUNCTION("""COMPUTED_VALUE"""),1.5737297880614133E-4)</f>
        <v>0.0001573729788</v>
      </c>
      <c r="E41" s="69">
        <f>IFERROR(__xludf.DUMMYFUNCTION("""COMPUTED_VALUE"""),1.8813127762501696E-4)</f>
        <v>0.0001881312776</v>
      </c>
      <c r="F41" s="69">
        <f>IFERROR(__xludf.DUMMYFUNCTION("""COMPUTED_VALUE"""),1.3039383646696549E-4)</f>
        <v>0.0001303938365</v>
      </c>
      <c r="G41" s="69">
        <f>IFERROR(__xludf.DUMMYFUNCTION("""COMPUTED_VALUE"""),1.7507116336453507E-4)</f>
        <v>0.0001750711634</v>
      </c>
      <c r="H41" s="69">
        <f>IFERROR(__xludf.DUMMYFUNCTION("""COMPUTED_VALUE"""),2.2373895449123254E-4)</f>
        <v>0.0002237389545</v>
      </c>
      <c r="I41" s="69">
        <f>IFERROR(__xludf.DUMMYFUNCTION("""COMPUTED_VALUE"""),1.417661410952976E-4)</f>
        <v>0.0001417661411</v>
      </c>
      <c r="J41" s="69">
        <f>IFERROR(__xludf.DUMMYFUNCTION("""COMPUTED_VALUE"""),1.4167382643074067E-4)</f>
        <v>0.0001416738264</v>
      </c>
      <c r="K41" s="69">
        <f>IFERROR(__xludf.DUMMYFUNCTION("""COMPUTED_VALUE"""),1.6045936904317937E-4)</f>
        <v>0.000160459369</v>
      </c>
      <c r="L41" s="69">
        <f>IFERROR(__xludf.DUMMYFUNCTION("""COMPUTED_VALUE"""),1.6045936904317937E-4)</f>
        <v>0.000160459369</v>
      </c>
      <c r="M41" s="69">
        <f>IFERROR(__xludf.DUMMYFUNCTION("""COMPUTED_VALUE"""),1.4976729123769716E-4)</f>
        <v>0.0001497672912</v>
      </c>
      <c r="N41" s="69">
        <f>IFERROR(__xludf.DUMMYFUNCTION("""COMPUTED_VALUE"""),1.2186684454312855E-4)</f>
        <v>0.0001218668445</v>
      </c>
      <c r="O41" s="69">
        <f>IFERROR(__xludf.DUMMYFUNCTION("""COMPUTED_VALUE"""),1.2307437844503045E-4)</f>
        <v>0.0001230743784</v>
      </c>
      <c r="P41" s="69">
        <f>IFERROR(__xludf.DUMMYFUNCTION("""COMPUTED_VALUE"""),1.773101199481184E-4)</f>
        <v>0.0001773101199</v>
      </c>
      <c r="Q41" s="69">
        <f>IFERROR(__xludf.DUMMYFUNCTION("""COMPUTED_VALUE"""),2.0251678203141868E-4)</f>
        <v>0.000202516782</v>
      </c>
      <c r="R41" s="69">
        <f>IFERROR(__xludf.DUMMYFUNCTION("""COMPUTED_VALUE"""),2.0251678203141868E-4)</f>
        <v>0.000202516782</v>
      </c>
      <c r="S41" s="69">
        <f>IFERROR(__xludf.DUMMYFUNCTION("""COMPUTED_VALUE"""),1.7047735878452156E-4)</f>
        <v>0.0001704773588</v>
      </c>
      <c r="T41" s="69">
        <f>IFERROR(__xludf.DUMMYFUNCTION("""COMPUTED_VALUE"""),1.504974610202935E-4)</f>
        <v>0.000150497461</v>
      </c>
      <c r="U41" s="69">
        <f>IFERROR(__xludf.DUMMYFUNCTION("""COMPUTED_VALUE"""),2.6275466594682966E-4)</f>
        <v>0.0002627546659</v>
      </c>
      <c r="V41" s="69">
        <f>IFERROR(__xludf.DUMMYFUNCTION("""COMPUTED_VALUE"""),1.8218993002685642E-4)</f>
        <v>0.00018218993</v>
      </c>
      <c r="W41" s="69">
        <f>IFERROR(__xludf.DUMMYFUNCTION("""COMPUTED_VALUE"""),1.6086650864744848E-4)</f>
        <v>0.0001608665086</v>
      </c>
      <c r="X41" s="69">
        <f>IFERROR(__xludf.DUMMYFUNCTION("""COMPUTED_VALUE"""),1.1577359759166711E-4)</f>
        <v>0.0001157735976</v>
      </c>
      <c r="Y41" s="69">
        <f>IFERROR(__xludf.DUMMYFUNCTION("""COMPUTED_VALUE"""),1.4334401597814443E-4)</f>
        <v>0.000143344016</v>
      </c>
      <c r="Z41" s="69">
        <f>IFERROR(__xludf.DUMMYFUNCTION("""COMPUTED_VALUE"""),1.9884152839571705E-4)</f>
        <v>0.0001988415284</v>
      </c>
      <c r="AA41" s="69">
        <f>IFERROR(__xludf.DUMMYFUNCTION("""COMPUTED_VALUE"""),1.6908476625392355E-4)</f>
        <v>0.0001690847663</v>
      </c>
      <c r="AB41" s="69">
        <f>IFERROR(__xludf.DUMMYFUNCTION("""COMPUTED_VALUE"""),1.1674470158498544E-4)</f>
        <v>0.0001167447016</v>
      </c>
      <c r="AC41" s="69">
        <f>IFERROR(__xludf.DUMMYFUNCTION("""COMPUTED_VALUE"""),1.323152499716043E-4)</f>
        <v>0.00013231525</v>
      </c>
    </row>
    <row r="42" ht="30.0" customHeight="1">
      <c r="A42" s="64" t="str">
        <f>IFERROR(__xludf.DUMMYFUNCTION("""COMPUTED_VALUE"""),"Impact 41事件機率")</f>
        <v>Impact 41事件機率</v>
      </c>
      <c r="B42" s="67" t="str">
        <f t="shared" si="1"/>
        <v>0.010%</v>
      </c>
      <c r="C42" s="70">
        <f>IFERROR(__xludf.DUMMYFUNCTION("""COMPUTED_VALUE"""),1.5011091722079377E-4)</f>
        <v>0.0001501109172</v>
      </c>
      <c r="D42" s="70">
        <f>IFERROR(__xludf.DUMMYFUNCTION("""COMPUTED_VALUE"""),9.334798752478345E-5)</f>
        <v>0.00009334798752</v>
      </c>
      <c r="E42" s="70">
        <f>IFERROR(__xludf.DUMMYFUNCTION("""COMPUTED_VALUE"""),1.1205364914312413E-4)</f>
        <v>0.0001120536491</v>
      </c>
      <c r="F42" s="70">
        <f>IFERROR(__xludf.DUMMYFUNCTION("""COMPUTED_VALUE"""),7.67071331384359E-5)</f>
        <v>0.00007670713314</v>
      </c>
      <c r="G42" s="70">
        <f>IFERROR(__xludf.DUMMYFUNCTION("""COMPUTED_VALUE"""),1.0378971134230058E-4)</f>
        <v>0.0001037897113</v>
      </c>
      <c r="H42" s="70">
        <f>IFERROR(__xludf.DUMMYFUNCTION("""COMPUTED_VALUE"""),1.3276866592798776E-4)</f>
        <v>0.0001327686659</v>
      </c>
      <c r="I42" s="70">
        <f>IFERROR(__xludf.DUMMYFUNCTION("""COMPUTED_VALUE"""),8.337318422302867E-5)</f>
        <v>0.00008337318422</v>
      </c>
      <c r="J42" s="70">
        <f>IFERROR(__xludf.DUMMYFUNCTION("""COMPUTED_VALUE"""),8.330819985453344E-5)</f>
        <v>0.00008330819985</v>
      </c>
      <c r="K42" s="70">
        <f>IFERROR(__xludf.DUMMYFUNCTION("""COMPUTED_VALUE"""),9.541799943388758E-5)</f>
        <v>0.00009541799943</v>
      </c>
      <c r="L42" s="70">
        <f>IFERROR(__xludf.DUMMYFUNCTION("""COMPUTED_VALUE"""),9.541799943388758E-5)</f>
        <v>0.00009541799943</v>
      </c>
      <c r="M42" s="70">
        <f>IFERROR(__xludf.DUMMYFUNCTION("""COMPUTED_VALUE"""),8.858353809425774E-5)</f>
        <v>0.00008858353809</v>
      </c>
      <c r="N42" s="70">
        <f>IFERROR(__xludf.DUMMYFUNCTION("""COMPUTED_VALUE"""),7.194245304121961E-5)</f>
        <v>0.00007194245304</v>
      </c>
      <c r="O42" s="70">
        <f>IFERROR(__xludf.DUMMYFUNCTION("""COMPUTED_VALUE"""),7.265214175342453E-5)</f>
        <v>0.00007265214175</v>
      </c>
      <c r="P42" s="70">
        <f>IFERROR(__xludf.DUMMYFUNCTION("""COMPUTED_VALUE"""),1.0532546587648061E-4)</f>
        <v>0.0001053254659</v>
      </c>
      <c r="Q42" s="70">
        <f>IFERROR(__xludf.DUMMYFUNCTION("""COMPUTED_VALUE"""),1.1959899498126371E-4)</f>
        <v>0.000119598995</v>
      </c>
      <c r="R42" s="70">
        <f>IFERROR(__xludf.DUMMYFUNCTION("""COMPUTED_VALUE"""),1.1959899498126371E-4)</f>
        <v>0.000119598995</v>
      </c>
      <c r="S42" s="70">
        <f>IFERROR(__xludf.DUMMYFUNCTION("""COMPUTED_VALUE"""),1.005720071445989E-4)</f>
        <v>0.0001005720071</v>
      </c>
      <c r="T42" s="70">
        <f>IFERROR(__xludf.DUMMYFUNCTION("""COMPUTED_VALUE"""),8.926876104534861E-5)</f>
        <v>0.00008926876105</v>
      </c>
      <c r="U42" s="70">
        <f>IFERROR(__xludf.DUMMYFUNCTION("""COMPUTED_VALUE"""),1.5698106885722243E-4)</f>
        <v>0.0001569810689</v>
      </c>
      <c r="V42" s="70">
        <f>IFERROR(__xludf.DUMMYFUNCTION("""COMPUTED_VALUE"""),1.0737023230074068E-4)</f>
        <v>0.0001073702323</v>
      </c>
      <c r="W42" s="70">
        <f>IFERROR(__xludf.DUMMYFUNCTION("""COMPUTED_VALUE"""),9.512405026259257E-5)</f>
        <v>0.00009512405026</v>
      </c>
      <c r="X42" s="70">
        <f>IFERROR(__xludf.DUMMYFUNCTION("""COMPUTED_VALUE"""),6.860383865554543E-5)</f>
        <v>0.00006860383866</v>
      </c>
      <c r="Y42" s="70">
        <f>IFERROR(__xludf.DUMMYFUNCTION("""COMPUTED_VALUE"""),8.54166136142842E-5)</f>
        <v>0.00008541661361</v>
      </c>
      <c r="Z42" s="70">
        <f>IFERROR(__xludf.DUMMYFUNCTION("""COMPUTED_VALUE"""),1.1761272990797722E-4)</f>
        <v>0.0001176127299</v>
      </c>
      <c r="AA42" s="70">
        <f>IFERROR(__xludf.DUMMYFUNCTION("""COMPUTED_VALUE"""),9.964260484677787E-5)</f>
        <v>0.00009964260485</v>
      </c>
      <c r="AB42" s="70">
        <f>IFERROR(__xludf.DUMMYFUNCTION("""COMPUTED_VALUE"""),6.924804444172863E-5)</f>
        <v>0.00006924804444</v>
      </c>
      <c r="AC42" s="70">
        <f>IFERROR(__xludf.DUMMYFUNCTION("""COMPUTED_VALUE"""),7.887456033328904E-5)</f>
        <v>0.00007887456033</v>
      </c>
    </row>
    <row r="43" ht="30.0" customHeight="1">
      <c r="A43" s="64" t="str">
        <f>IFERROR(__xludf.DUMMYFUNCTION("""COMPUTED_VALUE"""),"Impact 42事件機率")</f>
        <v>Impact 42事件機率</v>
      </c>
      <c r="B43" s="67" t="str">
        <f t="shared" si="1"/>
        <v>0.011%</v>
      </c>
      <c r="C43" s="69">
        <f>IFERROR(__xludf.DUMMYFUNCTION("""COMPUTED_VALUE"""),1.6506508806187427E-4)</f>
        <v>0.0001650650881</v>
      </c>
      <c r="D43" s="69">
        <f>IFERROR(__xludf.DUMMYFUNCTION("""COMPUTED_VALUE"""),1.0248276630812146E-4)</f>
        <v>0.0001024827663</v>
      </c>
      <c r="E43" s="69">
        <f>IFERROR(__xludf.DUMMYFUNCTION("""COMPUTED_VALUE"""),1.2290737927155184E-4)</f>
        <v>0.0001229073793</v>
      </c>
      <c r="F43" s="69">
        <f>IFERROR(__xludf.DUMMYFUNCTION("""COMPUTED_VALUE"""),8.394424231869088E-5)</f>
        <v>0.00008394424232</v>
      </c>
      <c r="G43" s="69">
        <f>IFERROR(__xludf.DUMMYFUNCTION("""COMPUTED_VALUE"""),1.137515912235787E-4)</f>
        <v>0.0001137515912</v>
      </c>
      <c r="H43" s="69">
        <f>IFERROR(__xludf.DUMMYFUNCTION("""COMPUTED_VALUE"""),1.453289034668647E-4)</f>
        <v>0.0001453289035</v>
      </c>
      <c r="I43" s="69">
        <f>IFERROR(__xludf.DUMMYFUNCTION("""COMPUTED_VALUE"""),9.119200531270407E-5)</f>
        <v>0.00009119200531</v>
      </c>
      <c r="J43" s="69">
        <f>IFERROR(__xludf.DUMMYFUNCTION("""COMPUTED_VALUE"""),9.111351017973599E-5)</f>
        <v>0.00009111351018</v>
      </c>
      <c r="K43" s="69">
        <f>IFERROR(__xludf.DUMMYFUNCTION("""COMPUTED_VALUE"""),1.0481086890067692E-4)</f>
        <v>0.0001048108689</v>
      </c>
      <c r="L43" s="69">
        <f>IFERROR(__xludf.DUMMYFUNCTION("""COMPUTED_VALUE"""),1.0481086890067692E-4)</f>
        <v>0.0001048108689</v>
      </c>
      <c r="M43" s="69">
        <f>IFERROR(__xludf.DUMMYFUNCTION("""COMPUTED_VALUE"""),9.713887044349473E-5)</f>
        <v>0.00009713887044</v>
      </c>
      <c r="N43" s="69">
        <f>IFERROR(__xludf.DUMMYFUNCTION("""COMPUTED_VALUE"""),7.91598335656925E-5)</f>
        <v>0.00007915983357</v>
      </c>
      <c r="O43" s="69">
        <f>IFERROR(__xludf.DUMMYFUNCTION("""COMPUTED_VALUE"""),7.980541757390533E-5)</f>
        <v>0.00007980541757</v>
      </c>
      <c r="P43" s="69">
        <f>IFERROR(__xludf.DUMMYFUNCTION("""COMPUTED_VALUE"""),1.1620509245241869E-4)</f>
        <v>0.0001162050925</v>
      </c>
      <c r="Q43" s="69">
        <f>IFERROR(__xludf.DUMMYFUNCTION("""COMPUTED_VALUE"""),1.315808337986154E-4)</f>
        <v>0.0001315808338</v>
      </c>
      <c r="R43" s="69">
        <f>IFERROR(__xludf.DUMMYFUNCTION("""COMPUTED_VALUE"""),1.315808337986154E-4)</f>
        <v>0.0001315808338</v>
      </c>
      <c r="S43" s="69">
        <f>IFERROR(__xludf.DUMMYFUNCTION("""COMPUTED_VALUE"""),1.1057095645152E-4)</f>
        <v>0.0001105709565</v>
      </c>
      <c r="T43" s="69">
        <f>IFERROR(__xludf.DUMMYFUNCTION("""COMPUTED_VALUE"""),9.801746295694274E-5)</f>
        <v>0.00009801746296</v>
      </c>
      <c r="U43" s="69">
        <f>IFERROR(__xludf.DUMMYFUNCTION("""COMPUTED_VALUE"""),1.7227844214232998E-4)</f>
        <v>0.0001722784421</v>
      </c>
      <c r="V43" s="69">
        <f>IFERROR(__xludf.DUMMYFUNCTION("""COMPUTED_VALUE"""),1.1754890236279701E-4)</f>
        <v>0.0001175489024</v>
      </c>
      <c r="W43" s="69">
        <f>IFERROR(__xludf.DUMMYFUNCTION("""COMPUTED_VALUE"""),1.0416928000595488E-4)</f>
        <v>0.00010416928</v>
      </c>
      <c r="X43" s="69">
        <f>IFERROR(__xludf.DUMMYFUNCTION("""COMPUTED_VALUE"""),7.503885266050207E-5)</f>
        <v>0.00007503885266</v>
      </c>
      <c r="Y43" s="69">
        <f>IFERROR(__xludf.DUMMYFUNCTION("""COMPUTED_VALUE"""),9.369900423987292E-5)</f>
        <v>0.00009369900424</v>
      </c>
      <c r="Z43" s="69">
        <f>IFERROR(__xludf.DUMMYFUNCTION("""COMPUTED_VALUE"""),1.2869961528263042E-4)</f>
        <v>0.0001286996153</v>
      </c>
      <c r="AA43" s="69">
        <f>IFERROR(__xludf.DUMMYFUNCTION("""COMPUTED_VALUE"""),1.0966676027088958E-4)</f>
        <v>0.0001096667603</v>
      </c>
      <c r="AB43" s="69">
        <f>IFERROR(__xludf.DUMMYFUNCTION("""COMPUTED_VALUE"""),7.603463464066436E-5)</f>
        <v>0.00007603463464</v>
      </c>
      <c r="AC43" s="69">
        <f>IFERROR(__xludf.DUMMYFUNCTION("""COMPUTED_VALUE"""),8.653016089129412E-5)</f>
        <v>0.00008653016089</v>
      </c>
    </row>
    <row r="44" ht="30.0" customHeight="1">
      <c r="A44" s="64" t="str">
        <f>IFERROR(__xludf.DUMMYFUNCTION("""COMPUTED_VALUE"""),"Impact 43事件機率")</f>
        <v>Impact 43事件機率</v>
      </c>
      <c r="B44" s="67" t="str">
        <f t="shared" si="1"/>
        <v>0.060%</v>
      </c>
      <c r="C44" s="70">
        <f>IFERROR(__xludf.DUMMYFUNCTION("""COMPUTED_VALUE"""),9.044471129538329E-4)</f>
        <v>0.000904447113</v>
      </c>
      <c r="D44" s="70">
        <f>IFERROR(__xludf.DUMMYFUNCTION("""COMPUTED_VALUE"""),5.669847722515005E-4)</f>
        <v>0.0005669847723</v>
      </c>
      <c r="E44" s="70">
        <f>IFERROR(__xludf.DUMMYFUNCTION("""COMPUTED_VALUE"""),6.754907544183231E-4)</f>
        <v>0.0006754907544</v>
      </c>
      <c r="F44" s="70">
        <f>IFERROR(__xludf.DUMMYFUNCTION("""COMPUTED_VALUE"""),4.6692504821365706E-4)</f>
        <v>0.0004669250482</v>
      </c>
      <c r="G44" s="70">
        <f>IFERROR(__xludf.DUMMYFUNCTION("""COMPUTED_VALUE"""),6.287269705658118E-4)</f>
        <v>0.0006287269706</v>
      </c>
      <c r="H44" s="70">
        <f>IFERROR(__xludf.DUMMYFUNCTION("""COMPUTED_VALUE"""),8.029377255330634E-4)</f>
        <v>0.0008029377255</v>
      </c>
      <c r="I44" s="70">
        <f>IFERROR(__xludf.DUMMYFUNCTION("""COMPUTED_VALUE"""),5.058026141505381E-4)</f>
        <v>0.0005058026142</v>
      </c>
      <c r="J44" s="70">
        <f>IFERROR(__xludf.DUMMYFUNCTION("""COMPUTED_VALUE"""),5.055250005750634E-4)</f>
        <v>0.0005055250006</v>
      </c>
      <c r="K44" s="70">
        <f>IFERROR(__xludf.DUMMYFUNCTION("""COMPUTED_VALUE"""),5.731075523190834E-4)</f>
        <v>0.0005731075523</v>
      </c>
      <c r="L44" s="70">
        <f>IFERROR(__xludf.DUMMYFUNCTION("""COMPUTED_VALUE"""),5.731075523190834E-4)</f>
        <v>0.0005731075523</v>
      </c>
      <c r="M44" s="70">
        <f>IFERROR(__xludf.DUMMYFUNCTION("""COMPUTED_VALUE"""),5.38643086496433E-4)</f>
        <v>0.0005386430865</v>
      </c>
      <c r="N44" s="70">
        <f>IFERROR(__xludf.DUMMYFUNCTION("""COMPUTED_VALUE"""),4.3547262977154265E-4)</f>
        <v>0.0004354726298</v>
      </c>
      <c r="O44" s="70">
        <f>IFERROR(__xludf.DUMMYFUNCTION("""COMPUTED_VALUE"""),4.4345486185270186E-4)</f>
        <v>0.0004434548619</v>
      </c>
      <c r="P44" s="70">
        <f>IFERROR(__xludf.DUMMYFUNCTION("""COMPUTED_VALUE"""),6.325264575970521E-4)</f>
        <v>0.0006325264576</v>
      </c>
      <c r="Q44" s="70">
        <f>IFERROR(__xludf.DUMMYFUNCTION("""COMPUTED_VALUE"""),7.218965991600297E-4)</f>
        <v>0.0007218965992</v>
      </c>
      <c r="R44" s="70">
        <f>IFERROR(__xludf.DUMMYFUNCTION("""COMPUTED_VALUE"""),7.218965991600297E-4)</f>
        <v>0.0007218965992</v>
      </c>
      <c r="S44" s="70">
        <f>IFERROR(__xludf.DUMMYFUNCTION("""COMPUTED_VALUE"""),6.129730742203414E-4)</f>
        <v>0.0006129730742</v>
      </c>
      <c r="T44" s="70">
        <f>IFERROR(__xludf.DUMMYFUNCTION("""COMPUTED_VALUE"""),5.389914889772299E-4)</f>
        <v>0.000538991489</v>
      </c>
      <c r="U44" s="70">
        <f>IFERROR(__xludf.DUMMYFUNCTION("""COMPUTED_VALUE"""),9.365428222789005E-4)</f>
        <v>0.0009365428223</v>
      </c>
      <c r="V44" s="70">
        <f>IFERROR(__xludf.DUMMYFUNCTION("""COMPUTED_VALUE"""),6.535964667236658E-4)</f>
        <v>0.0006535964667</v>
      </c>
      <c r="W44" s="70">
        <f>IFERROR(__xludf.DUMMYFUNCTION("""COMPUTED_VALUE"""),5.750804279681301E-4)</f>
        <v>0.000575080428</v>
      </c>
      <c r="X44" s="70">
        <f>IFERROR(__xludf.DUMMYFUNCTION("""COMPUTED_VALUE"""),4.160584279444827E-4)</f>
        <v>0.0004160584279</v>
      </c>
      <c r="Y44" s="70">
        <f>IFERROR(__xludf.DUMMYFUNCTION("""COMPUTED_VALUE"""),5.103461146743117E-4)</f>
        <v>0.0005103461147</v>
      </c>
      <c r="Z44" s="70">
        <f>IFERROR(__xludf.DUMMYFUNCTION("""COMPUTED_VALUE"""),7.131240218034036E-4)</f>
        <v>0.0007131240218</v>
      </c>
      <c r="AA44" s="70">
        <f>IFERROR(__xludf.DUMMYFUNCTION("""COMPUTED_VALUE"""),6.081383346239093E-4)</f>
        <v>0.0006081383346</v>
      </c>
      <c r="AB44" s="70">
        <f>IFERROR(__xludf.DUMMYFUNCTION("""COMPUTED_VALUE"""),4.181093827822694E-4)</f>
        <v>0.0004181093828</v>
      </c>
      <c r="AC44" s="70">
        <f>IFERROR(__xludf.DUMMYFUNCTION("""COMPUTED_VALUE"""),4.727790258763482E-4)</f>
        <v>0.0004727790259</v>
      </c>
    </row>
    <row r="45" ht="30.0" customHeight="1">
      <c r="A45" s="64" t="str">
        <f>IFERROR(__xludf.DUMMYFUNCTION("""COMPUTED_VALUE"""),"Impact 44事件機率")</f>
        <v>Impact 44事件機率</v>
      </c>
      <c r="B45" s="67" t="str">
        <f t="shared" si="1"/>
        <v>0.041%</v>
      </c>
      <c r="C45" s="69">
        <f>IFERROR(__xludf.DUMMYFUNCTION("""COMPUTED_VALUE"""),6.149533849080942E-4)</f>
        <v>0.0006149533849</v>
      </c>
      <c r="D45" s="69">
        <f>IFERROR(__xludf.DUMMYFUNCTION("""COMPUTED_VALUE"""),3.819468318520392E-4)</f>
        <v>0.0003819468319</v>
      </c>
      <c r="E45" s="69">
        <f>IFERROR(__xludf.DUMMYFUNCTION("""COMPUTED_VALUE"""),4.5749949453542275E-4)</f>
        <v>0.0004574994945</v>
      </c>
      <c r="F45" s="69">
        <f>IFERROR(__xludf.DUMMYFUNCTION("""COMPUTED_VALUE"""),3.158613790267449E-4)</f>
        <v>0.000315861379</v>
      </c>
      <c r="G45" s="69">
        <f>IFERROR(__xludf.DUMMYFUNCTION("""COMPUTED_VALUE"""),4.2566058687961995E-4)</f>
        <v>0.0004256605869</v>
      </c>
      <c r="H45" s="69">
        <f>IFERROR(__xludf.DUMMYFUNCTION("""COMPUTED_VALUE"""),5.436416984366427E-4)</f>
        <v>0.0005436416984</v>
      </c>
      <c r="I45" s="69">
        <f>IFERROR(__xludf.DUMMYFUNCTION("""COMPUTED_VALUE"""),3.427371558392892E-4)</f>
        <v>0.0003427371558</v>
      </c>
      <c r="J45" s="69">
        <f>IFERROR(__xludf.DUMMYFUNCTION("""COMPUTED_VALUE"""),3.4257111383403075E-4)</f>
        <v>0.0003425711138</v>
      </c>
      <c r="K45" s="69">
        <f>IFERROR(__xludf.DUMMYFUNCTION("""COMPUTED_VALUE"""),3.9068662213635107E-4)</f>
        <v>0.0003906866221</v>
      </c>
      <c r="L45" s="69">
        <f>IFERROR(__xludf.DUMMYFUNCTION("""COMPUTED_VALUE"""),3.9068662213635107E-4)</f>
        <v>0.0003906866221</v>
      </c>
      <c r="M45" s="69">
        <f>IFERROR(__xludf.DUMMYFUNCTION("""COMPUTED_VALUE"""),3.6296119709672503E-4)</f>
        <v>0.0003629611971</v>
      </c>
      <c r="N45" s="69">
        <f>IFERROR(__xludf.DUMMYFUNCTION("""COMPUTED_VALUE"""),2.961180613451882E-4)</f>
        <v>0.0002961180613</v>
      </c>
      <c r="O45" s="69">
        <f>IFERROR(__xludf.DUMMYFUNCTION("""COMPUTED_VALUE"""),2.988123342861039E-4)</f>
        <v>0.0002988123343</v>
      </c>
      <c r="P45" s="69">
        <f>IFERROR(__xludf.DUMMYFUNCTION("""COMPUTED_VALUE"""),4.3210937509424003E-4)</f>
        <v>0.0004321093751</v>
      </c>
      <c r="Q45" s="69">
        <f>IFERROR(__xludf.DUMMYFUNCTION("""COMPUTED_VALUE"""),4.909695363534794E-4)</f>
        <v>0.0004909695364</v>
      </c>
      <c r="R45" s="69">
        <f>IFERROR(__xludf.DUMMYFUNCTION("""COMPUTED_VALUE"""),4.909695363534794E-4)</f>
        <v>0.0004909695364</v>
      </c>
      <c r="S45" s="69">
        <f>IFERROR(__xludf.DUMMYFUNCTION("""COMPUTED_VALUE"""),4.1280648244971683E-4)</f>
        <v>0.0004128064824</v>
      </c>
      <c r="T45" s="69">
        <f>IFERROR(__xludf.DUMMYFUNCTION("""COMPUTED_VALUE"""),3.6573649556923313E-4)</f>
        <v>0.0003657364956</v>
      </c>
      <c r="U45" s="69">
        <f>IFERROR(__xludf.DUMMYFUNCTION("""COMPUTED_VALUE"""),6.40970240036938E-4)</f>
        <v>0.00064097024</v>
      </c>
      <c r="V45" s="69">
        <f>IFERROR(__xludf.DUMMYFUNCTION("""COMPUTED_VALUE"""),4.4163098659178135E-4)</f>
        <v>0.0004416309866</v>
      </c>
      <c r="W45" s="69">
        <f>IFERROR(__xludf.DUMMYFUNCTION("""COMPUTED_VALUE"""),3.9118308720800386E-4)</f>
        <v>0.0003911830872</v>
      </c>
      <c r="X45" s="69">
        <f>IFERROR(__xludf.DUMMYFUNCTION("""COMPUTED_VALUE"""),2.809989140463715E-4)</f>
        <v>0.000280998914</v>
      </c>
      <c r="Y45" s="69">
        <f>IFERROR(__xludf.DUMMYFUNCTION("""COMPUTED_VALUE"""),3.48796998965825E-4)</f>
        <v>0.000348796999</v>
      </c>
      <c r="Z45" s="69">
        <f>IFERROR(__xludf.DUMMYFUNCTION("""COMPUTED_VALUE"""),4.813834179422367E-4)</f>
        <v>0.0004813834179</v>
      </c>
      <c r="AA45" s="69">
        <f>IFERROR(__xludf.DUMMYFUNCTION("""COMPUTED_VALUE"""),4.0930265736314114E-4)</f>
        <v>0.0004093026574</v>
      </c>
      <c r="AB45" s="69">
        <f>IFERROR(__xludf.DUMMYFUNCTION("""COMPUTED_VALUE"""),2.8371108551931664E-4)</f>
        <v>0.0002837110855</v>
      </c>
      <c r="AC45" s="69">
        <f>IFERROR(__xludf.DUMMYFUNCTION("""COMPUTED_VALUE"""),3.22254720184297E-4)</f>
        <v>0.0003222547202</v>
      </c>
    </row>
    <row r="46" ht="30.0" customHeight="1">
      <c r="A46" s="64" t="str">
        <f>IFERROR(__xludf.DUMMYFUNCTION("""COMPUTED_VALUE"""),"Impact 45事件機率")</f>
        <v>Impact 45事件機率</v>
      </c>
      <c r="B46" s="67" t="str">
        <f t="shared" si="1"/>
        <v>0.037%</v>
      </c>
      <c r="C46" s="70">
        <f>IFERROR(__xludf.DUMMYFUNCTION("""COMPUTED_VALUE"""),5.569836370913125E-4)</f>
        <v>0.0005569836371</v>
      </c>
      <c r="D46" s="70">
        <f>IFERROR(__xludf.DUMMYFUNCTION("""COMPUTED_VALUE"""),3.4741835727822187E-4)</f>
        <v>0.0003474183573</v>
      </c>
      <c r="E46" s="70">
        <f>IFERROR(__xludf.DUMMYFUNCTION("""COMPUTED_VALUE"""),4.144845598134465E-4)</f>
        <v>0.0004144845598</v>
      </c>
      <c r="F46" s="70">
        <f>IFERROR(__xludf.DUMMYFUNCTION("""COMPUTED_VALUE"""),2.8603726478505385E-4)</f>
        <v>0.0002860372648</v>
      </c>
      <c r="G46" s="70">
        <f>IFERROR(__xludf.DUMMYFUNCTION("""COMPUTED_VALUE"""),3.8564972540786215E-4)</f>
        <v>0.0003856497254</v>
      </c>
      <c r="H46" s="70">
        <f>IFERROR(__xludf.DUMMYFUNCTION("""COMPUTED_VALUE"""),4.929924334753536E-4)</f>
        <v>0.0004929924335</v>
      </c>
      <c r="I46" s="70">
        <f>IFERROR(__xludf.DUMMYFUNCTION("""COMPUTED_VALUE"""),3.115872496957294E-4)</f>
        <v>0.0003115872497</v>
      </c>
      <c r="J46" s="70">
        <f>IFERROR(__xludf.DUMMYFUNCTION("""COMPUTED_VALUE"""),3.114498893633146E-4)</f>
        <v>0.0003114498894</v>
      </c>
      <c r="K46" s="70">
        <f>IFERROR(__xludf.DUMMYFUNCTION("""COMPUTED_VALUE"""),3.530493473882589E-4)</f>
        <v>0.0003530493474</v>
      </c>
      <c r="L46" s="70">
        <f>IFERROR(__xludf.DUMMYFUNCTION("""COMPUTED_VALUE"""),3.530493473882589E-4)</f>
        <v>0.0003530493474</v>
      </c>
      <c r="M46" s="70">
        <f>IFERROR(__xludf.DUMMYFUNCTION("""COMPUTED_VALUE"""),3.2952332231893686E-4)</f>
        <v>0.0003295233223</v>
      </c>
      <c r="N46" s="70">
        <f>IFERROR(__xludf.DUMMYFUNCTION("""COMPUTED_VALUE"""),2.667905194856337E-4)</f>
        <v>0.0002667905195</v>
      </c>
      <c r="O46" s="70">
        <f>IFERROR(__xludf.DUMMYFUNCTION("""COMPUTED_VALUE"""),2.706467367715732E-4)</f>
        <v>0.0002706467368</v>
      </c>
      <c r="P46" s="70">
        <f>IFERROR(__xludf.DUMMYFUNCTION("""COMPUTED_VALUE"""),3.893108786639296E-4)</f>
        <v>0.0003893108787</v>
      </c>
      <c r="Q46" s="70">
        <f>IFERROR(__xludf.DUMMYFUNCTION("""COMPUTED_VALUE"""),4.4467878641004906E-4)</f>
        <v>0.0004446787864</v>
      </c>
      <c r="R46" s="70">
        <f>IFERROR(__xludf.DUMMYFUNCTION("""COMPUTED_VALUE"""),4.4467878641004906E-4)</f>
        <v>0.0004446787864</v>
      </c>
      <c r="S46" s="70">
        <f>IFERROR(__xludf.DUMMYFUNCTION("""COMPUTED_VALUE"""),3.758843847015623E-4)</f>
        <v>0.0003758843847</v>
      </c>
      <c r="T46" s="70">
        <f>IFERROR(__xludf.DUMMYFUNCTION("""COMPUTED_VALUE"""),3.313059497271018E-4)</f>
        <v>0.0003313059497</v>
      </c>
      <c r="U46" s="70">
        <f>IFERROR(__xludf.DUMMYFUNCTION("""COMPUTED_VALUE"""),5.773953650835149E-4)</f>
        <v>0.0005773953651</v>
      </c>
      <c r="V46" s="70">
        <f>IFERROR(__xludf.DUMMYFUNCTION("""COMPUTED_VALUE"""),4.0017373973225324E-4)</f>
        <v>0.0004001737397</v>
      </c>
      <c r="W46" s="70">
        <f>IFERROR(__xludf.DUMMYFUNCTION("""COMPUTED_VALUE"""),3.5324587958166675E-4)</f>
        <v>0.0003532458796</v>
      </c>
      <c r="X46" s="70">
        <f>IFERROR(__xludf.DUMMYFUNCTION("""COMPUTED_VALUE"""),2.55199778537799E-4)</f>
        <v>0.0002551997785</v>
      </c>
      <c r="Y46" s="70">
        <f>IFERROR(__xludf.DUMMYFUNCTION("""COMPUTED_VALUE"""),3.1529246546482413E-4)</f>
        <v>0.0003152924655</v>
      </c>
      <c r="Z46" s="70">
        <f>IFERROR(__xludf.DUMMYFUNCTION("""COMPUTED_VALUE"""),4.3872100851289773E-4)</f>
        <v>0.0004387210085</v>
      </c>
      <c r="AA46" s="70">
        <f>IFERROR(__xludf.DUMMYFUNCTION("""COMPUTED_VALUE"""),3.7242817191646414E-4)</f>
        <v>0.0003724281719</v>
      </c>
      <c r="AB46" s="70">
        <f>IFERROR(__xludf.DUMMYFUNCTION("""COMPUTED_VALUE"""),2.570024369315125E-4)</f>
        <v>0.0002570024369</v>
      </c>
      <c r="AC46" s="70">
        <f>IFERROR(__xludf.DUMMYFUNCTION("""COMPUTED_VALUE"""),2.9091598429277737E-4)</f>
        <v>0.0002909159843</v>
      </c>
    </row>
    <row r="47" ht="30.0" customHeight="1">
      <c r="A47" s="64" t="str">
        <f>IFERROR(__xludf.DUMMYFUNCTION("""COMPUTED_VALUE"""),"Impact 46事件機率")</f>
        <v>Impact 46事件機率</v>
      </c>
      <c r="B47" s="67" t="str">
        <f t="shared" si="1"/>
        <v>0.041%</v>
      </c>
      <c r="C47" s="69">
        <f>IFERROR(__xludf.DUMMYFUNCTION("""COMPUTED_VALUE"""),6.124785692245235E-4)</f>
        <v>0.0006124785692</v>
      </c>
      <c r="D47" s="69">
        <f>IFERROR(__xludf.DUMMYFUNCTION("""COMPUTED_VALUE"""),3.8131217858858795E-4)</f>
        <v>0.0003813121786</v>
      </c>
      <c r="E47" s="69">
        <f>IFERROR(__xludf.DUMMYFUNCTION("""COMPUTED_VALUE"""),4.544186330555491E-4)</f>
        <v>0.0004544186331</v>
      </c>
      <c r="F47" s="69">
        <f>IFERROR(__xludf.DUMMYFUNCTION("""COMPUTED_VALUE"""),3.13039720576688E-4)</f>
        <v>0.0003130397206</v>
      </c>
      <c r="G47" s="69">
        <f>IFERROR(__xludf.DUMMYFUNCTION("""COMPUTED_VALUE"""),4.22719464086466E-4)</f>
        <v>0.0004227194641</v>
      </c>
      <c r="H47" s="69">
        <f>IFERROR(__xludf.DUMMYFUNCTION("""COMPUTED_VALUE"""),5.394398346205838E-4)</f>
        <v>0.0005394398346</v>
      </c>
      <c r="I47" s="69">
        <f>IFERROR(__xludf.DUMMYFUNCTION("""COMPUTED_VALUE"""),3.409272612351195E-4)</f>
        <v>0.0003409272612</v>
      </c>
      <c r="J47" s="69">
        <f>IFERROR(__xludf.DUMMYFUNCTION("""COMPUTED_VALUE"""),3.4076134260257584E-4)</f>
        <v>0.0003407613426</v>
      </c>
      <c r="K47" s="69">
        <f>IFERROR(__xludf.DUMMYFUNCTION("""COMPUTED_VALUE"""),3.8793971438767365E-4)</f>
        <v>0.0003879397144</v>
      </c>
      <c r="L47" s="69">
        <f>IFERROR(__xludf.DUMMYFUNCTION("""COMPUTED_VALUE"""),3.8793971438767365E-4)</f>
        <v>0.0003879397144</v>
      </c>
      <c r="M47" s="69">
        <f>IFERROR(__xludf.DUMMYFUNCTION("""COMPUTED_VALUE"""),3.614369345247804E-4)</f>
        <v>0.0003614369345</v>
      </c>
      <c r="N47" s="69">
        <f>IFERROR(__xludf.DUMMYFUNCTION("""COMPUTED_VALUE"""),2.9353703051835625E-4)</f>
        <v>0.0002935370305</v>
      </c>
      <c r="O47" s="69">
        <f>IFERROR(__xludf.DUMMYFUNCTION("""COMPUTED_VALUE"""),2.9730846782462727E-4)</f>
        <v>0.0002973084678</v>
      </c>
      <c r="P47" s="69">
        <f>IFERROR(__xludf.DUMMYFUNCTION("""COMPUTED_VALUE"""),4.296887181710967E-4)</f>
        <v>0.0004296887182</v>
      </c>
      <c r="Q47" s="69">
        <f>IFERROR(__xludf.DUMMYFUNCTION("""COMPUTED_VALUE"""),4.890771406977922E-4)</f>
        <v>0.0004890771407</v>
      </c>
      <c r="R47" s="69">
        <f>IFERROR(__xludf.DUMMYFUNCTION("""COMPUTED_VALUE"""),4.890771406977922E-4)</f>
        <v>0.0004890771407</v>
      </c>
      <c r="S47" s="69">
        <f>IFERROR(__xludf.DUMMYFUNCTION("""COMPUTED_VALUE"""),4.1312492706368755E-4)</f>
        <v>0.0004131249271</v>
      </c>
      <c r="T47" s="69">
        <f>IFERROR(__xludf.DUMMYFUNCTION("""COMPUTED_VALUE"""),3.637511477020364E-4)</f>
        <v>0.0003637511477</v>
      </c>
      <c r="U47" s="69">
        <f>IFERROR(__xludf.DUMMYFUNCTION("""COMPUTED_VALUE"""),6.335447064493448E-4)</f>
        <v>0.0006335447064</v>
      </c>
      <c r="V47" s="69">
        <f>IFERROR(__xludf.DUMMYFUNCTION("""COMPUTED_VALUE"""),4.378924523668673E-4)</f>
        <v>0.0004378924524</v>
      </c>
      <c r="W47" s="69">
        <f>IFERROR(__xludf.DUMMYFUNCTION("""COMPUTED_VALUE"""),3.868903400577E-4)</f>
        <v>0.0003868903401</v>
      </c>
      <c r="X47" s="69">
        <f>IFERROR(__xludf.DUMMYFUNCTION("""COMPUTED_VALUE"""),2.7920722571393237E-4)</f>
        <v>0.0002792072257</v>
      </c>
      <c r="Y47" s="69">
        <f>IFERROR(__xludf.DUMMYFUNCTION("""COMPUTED_VALUE"""),3.4587573061258187E-4)</f>
        <v>0.0003458757306</v>
      </c>
      <c r="Z47" s="69">
        <f>IFERROR(__xludf.DUMMYFUNCTION("""COMPUTED_VALUE"""),4.799509511150555E-4)</f>
        <v>0.0004799509511</v>
      </c>
      <c r="AA47" s="69">
        <f>IFERROR(__xludf.DUMMYFUNCTION("""COMPUTED_VALUE"""),4.098547409521049E-4)</f>
        <v>0.000409854741</v>
      </c>
      <c r="AB47" s="69">
        <f>IFERROR(__xludf.DUMMYFUNCTION("""COMPUTED_VALUE"""),2.821710007715275E-4)</f>
        <v>0.0002821710008</v>
      </c>
      <c r="AC47" s="69">
        <f>IFERROR(__xludf.DUMMYFUNCTION("""COMPUTED_VALUE"""),3.190646368990402E-4)</f>
        <v>0.0003190646369</v>
      </c>
    </row>
    <row r="48" ht="30.0" customHeight="1">
      <c r="A48" s="64" t="str">
        <f>IFERROR(__xludf.DUMMYFUNCTION("""COMPUTED_VALUE"""),"Impact 47事件機率")</f>
        <v>Impact 47事件機率</v>
      </c>
      <c r="B48" s="67" t="str">
        <f t="shared" si="1"/>
        <v>10.455%</v>
      </c>
      <c r="C48" s="70">
        <f>IFERROR(__xludf.DUMMYFUNCTION("""COMPUTED_VALUE"""),0.10808726542093483)</f>
        <v>0.1080872654</v>
      </c>
      <c r="D48" s="70">
        <f>IFERROR(__xludf.DUMMYFUNCTION("""COMPUTED_VALUE"""),0.10808726542093483)</f>
        <v>0.1080872654</v>
      </c>
      <c r="E48" s="70">
        <f>IFERROR(__xludf.DUMMYFUNCTION("""COMPUTED_VALUE"""),0.10808726542093483)</f>
        <v>0.1080872654</v>
      </c>
      <c r="F48" s="70">
        <f>IFERROR(__xludf.DUMMYFUNCTION("""COMPUTED_VALUE"""),0.10808726542093483)</f>
        <v>0.1080872654</v>
      </c>
      <c r="G48" s="70">
        <f>IFERROR(__xludf.DUMMYFUNCTION("""COMPUTED_VALUE"""),0.11946487230734974)</f>
        <v>0.1194648723</v>
      </c>
      <c r="H48" s="70">
        <f>IFERROR(__xludf.DUMMYFUNCTION("""COMPUTED_VALUE"""),0.11946487230734974)</f>
        <v>0.1194648723</v>
      </c>
      <c r="I48" s="70">
        <f>IFERROR(__xludf.DUMMYFUNCTION("""COMPUTED_VALUE"""),0.10810884187874917)</f>
        <v>0.1081088419</v>
      </c>
      <c r="J48" s="70">
        <f>IFERROR(__xludf.DUMMYFUNCTION("""COMPUTED_VALUE"""),0.10808726542093483)</f>
        <v>0.1080872654</v>
      </c>
      <c r="K48" s="70">
        <f>IFERROR(__xludf.DUMMYFUNCTION("""COMPUTED_VALUE"""),0.10810884187874917)</f>
        <v>0.1081088419</v>
      </c>
      <c r="L48" s="70">
        <f>IFERROR(__xludf.DUMMYFUNCTION("""COMPUTED_VALUE"""),0.10810884187874917)</f>
        <v>0.1081088419</v>
      </c>
      <c r="M48" s="70">
        <f>IFERROR(__xludf.DUMMYFUNCTION("""COMPUTED_VALUE"""),0.11946487230734974)</f>
        <v>0.1194648723</v>
      </c>
      <c r="N48" s="70">
        <f>IFERROR(__xludf.DUMMYFUNCTION("""COMPUTED_VALUE"""),0.11946487230734974)</f>
        <v>0.1194648723</v>
      </c>
      <c r="O48" s="70">
        <f>IFERROR(__xludf.DUMMYFUNCTION("""COMPUTED_VALUE"""),0.11946487230734974)</f>
        <v>0.1194648723</v>
      </c>
      <c r="P48" s="70">
        <f>IFERROR(__xludf.DUMMYFUNCTION("""COMPUTED_VALUE"""),0.10627406171799314)</f>
        <v>0.1062740617</v>
      </c>
      <c r="Q48" s="70">
        <f>IFERROR(__xludf.DUMMYFUNCTION("""COMPUTED_VALUE"""),0.09111672750163495)</f>
        <v>0.0911167275</v>
      </c>
      <c r="R48" s="70">
        <f>IFERROR(__xludf.DUMMYFUNCTION("""COMPUTED_VALUE"""),0.09111672750163495)</f>
        <v>0.0911167275</v>
      </c>
      <c r="S48" s="70">
        <f>IFERROR(__xludf.DUMMYFUNCTION("""COMPUTED_VALUE"""),0.09109854234496363)</f>
        <v>0.09109854234</v>
      </c>
      <c r="T48" s="70">
        <f>IFERROR(__xludf.DUMMYFUNCTION("""COMPUTED_VALUE"""),0.10068786259180243)</f>
        <v>0.1006878626</v>
      </c>
      <c r="U48" s="70">
        <f>IFERROR(__xludf.DUMMYFUNCTION("""COMPUTED_VALUE"""),0.10068786259180243)</f>
        <v>0.1006878626</v>
      </c>
      <c r="V48" s="70">
        <f>IFERROR(__xludf.DUMMYFUNCTION("""COMPUTED_VALUE"""),0.10068786259180243)</f>
        <v>0.1006878626</v>
      </c>
      <c r="W48" s="70">
        <f>IFERROR(__xludf.DUMMYFUNCTION("""COMPUTED_VALUE"""),0.09109854234496363)</f>
        <v>0.09109854234</v>
      </c>
      <c r="X48" s="70">
        <f>IFERROR(__xludf.DUMMYFUNCTION("""COMPUTED_VALUE"""),0.09109854234496363)</f>
        <v>0.09109854234</v>
      </c>
      <c r="Y48" s="70">
        <f>IFERROR(__xludf.DUMMYFUNCTION("""COMPUTED_VALUE"""),0.09109854234496363)</f>
        <v>0.09109854234</v>
      </c>
      <c r="Z48" s="70">
        <f>IFERROR(__xludf.DUMMYFUNCTION("""COMPUTED_VALUE"""),0.10068786259180243)</f>
        <v>0.1006878626</v>
      </c>
      <c r="AA48" s="70">
        <f>IFERROR(__xludf.DUMMYFUNCTION("""COMPUTED_VALUE"""),0.10068786259180243)</f>
        <v>0.1006878626</v>
      </c>
      <c r="AB48" s="70">
        <f>IFERROR(__xludf.DUMMYFUNCTION("""COMPUTED_VALUE"""),0.10068786259180243)</f>
        <v>0.1006878626</v>
      </c>
      <c r="AC48" s="70">
        <f>IFERROR(__xludf.DUMMYFUNCTION("""COMPUTED_VALUE"""),0.10068786259180243)</f>
        <v>0.1006878626</v>
      </c>
    </row>
    <row r="49" ht="30.0" customHeight="1">
      <c r="A49" s="64" t="str">
        <f>IFERROR(__xludf.DUMMYFUNCTION("""COMPUTED_VALUE"""),"Impact 48事件機率")</f>
        <v>Impact 48事件機率</v>
      </c>
      <c r="B49" s="67" t="str">
        <f t="shared" si="1"/>
        <v>0.474%</v>
      </c>
      <c r="C49" s="69">
        <f>IFERROR(__xludf.DUMMYFUNCTION("""COMPUTED_VALUE"""),0.005433508486253447)</f>
        <v>0.005433508486</v>
      </c>
      <c r="D49" s="69">
        <f>IFERROR(__xludf.DUMMYFUNCTION("""COMPUTED_VALUE"""),0.0060054567479643235)</f>
        <v>0.006005456748</v>
      </c>
      <c r="E49" s="69">
        <f>IFERROR(__xludf.DUMMYFUNCTION("""COMPUTED_VALUE"""),0.0060054567479643235)</f>
        <v>0.006005456748</v>
      </c>
      <c r="F49" s="69">
        <f>IFERROR(__xludf.DUMMYFUNCTION("""COMPUTED_VALUE"""),0.006637610089855371)</f>
        <v>0.00663761009</v>
      </c>
      <c r="G49" s="69">
        <f>IFERROR(__xludf.DUMMYFUNCTION("""COMPUTED_VALUE"""),0.003898121438441674)</f>
        <v>0.003898121438</v>
      </c>
      <c r="H49" s="69">
        <f>IFERROR(__xludf.DUMMYFUNCTION("""COMPUTED_VALUE"""),0.004084486738114686)</f>
        <v>0.004084486738</v>
      </c>
      <c r="I49" s="69">
        <f>IFERROR(__xludf.DUMMYFUNCTION("""COMPUTED_VALUE"""),0.005434593127133026)</f>
        <v>0.005434593127</v>
      </c>
      <c r="J49" s="69">
        <f>IFERROR(__xludf.DUMMYFUNCTION("""COMPUTED_VALUE"""),0.005433508486253447)</f>
        <v>0.005433508486</v>
      </c>
      <c r="K49" s="69">
        <f>IFERROR(__xludf.DUMMYFUNCTION("""COMPUTED_VALUE"""),0.0066022766362712855)</f>
        <v>0.006602276636</v>
      </c>
      <c r="L49" s="69">
        <f>IFERROR(__xludf.DUMMYFUNCTION("""COMPUTED_VALUE"""),0.0066022766362712855)</f>
        <v>0.006602276636</v>
      </c>
      <c r="M49" s="69">
        <f>IFERROR(__xludf.DUMMYFUNCTION("""COMPUTED_VALUE"""),0.003695488001151375)</f>
        <v>0.003695488001</v>
      </c>
      <c r="N49" s="69">
        <f>IFERROR(__xludf.DUMMYFUNCTION("""COMPUTED_VALUE"""),0.004084486738114686)</f>
        <v>0.004084486738</v>
      </c>
      <c r="O49" s="69">
        <f>IFERROR(__xludf.DUMMYFUNCTION("""COMPUTED_VALUE"""),0.004084486738114686)</f>
        <v>0.004084486738</v>
      </c>
      <c r="P49" s="69">
        <f>IFERROR(__xludf.DUMMYFUNCTION("""COMPUTED_VALUE"""),0.004544686074606376)</f>
        <v>0.004544686075</v>
      </c>
      <c r="Q49" s="69">
        <f>IFERROR(__xludf.DUMMYFUNCTION("""COMPUTED_VALUE"""),0.005062553520029549)</f>
        <v>0.00506255352</v>
      </c>
      <c r="R49" s="69">
        <f>IFERROR(__xludf.DUMMYFUNCTION("""COMPUTED_VALUE"""),0.005062553520029549)</f>
        <v>0.00506255352</v>
      </c>
      <c r="S49" s="69">
        <f>IFERROR(__xludf.DUMMYFUNCTION("""COMPUTED_VALUE"""),0.005594337144946631)</f>
        <v>0.005594337145</v>
      </c>
      <c r="T49" s="69">
        <f>IFERROR(__xludf.DUMMYFUNCTION("""COMPUTED_VALUE"""),0.003114646011693693)</f>
        <v>0.003114646012</v>
      </c>
      <c r="U49" s="69">
        <f>IFERROR(__xludf.DUMMYFUNCTION("""COMPUTED_VALUE"""),0.0034425034866088283)</f>
        <v>0.003442503487</v>
      </c>
      <c r="V49" s="69">
        <f>IFERROR(__xludf.DUMMYFUNCTION("""COMPUTED_VALUE"""),0.003804872274672936)</f>
        <v>0.003804872275</v>
      </c>
      <c r="W49" s="69">
        <f>IFERROR(__xludf.DUMMYFUNCTION("""COMPUTED_VALUE"""),0.004579491404366787)</f>
        <v>0.004579491404</v>
      </c>
      <c r="X49" s="69">
        <f>IFERROR(__xludf.DUMMYFUNCTION("""COMPUTED_VALUE"""),0.005061543131142207)</f>
        <v>0.005061543131</v>
      </c>
      <c r="Y49" s="69">
        <f>IFERROR(__xludf.DUMMYFUNCTION("""COMPUTED_VALUE"""),0.0052795212389957075)</f>
        <v>0.005279521239</v>
      </c>
      <c r="Z49" s="69">
        <f>IFERROR(__xludf.DUMMYFUNCTION("""COMPUTED_VALUE"""),0.003114646011693693)</f>
        <v>0.003114646012</v>
      </c>
      <c r="AA49" s="69">
        <f>IFERROR(__xludf.DUMMYFUNCTION("""COMPUTED_VALUE"""),0.0034425034866088283)</f>
        <v>0.003442503487</v>
      </c>
      <c r="AB49" s="69">
        <f>IFERROR(__xludf.DUMMYFUNCTION("""COMPUTED_VALUE"""),0.0034425034866088283)</f>
        <v>0.003442503487</v>
      </c>
      <c r="AC49" s="69">
        <f>IFERROR(__xludf.DUMMYFUNCTION("""COMPUTED_VALUE"""),0.003804872274672936)</f>
        <v>0.003804872275</v>
      </c>
    </row>
    <row r="50" ht="30.0" customHeight="1">
      <c r="A50" s="64" t="str">
        <f>IFERROR(__xludf.DUMMYFUNCTION("""COMPUTED_VALUE"""),"Impact 49事件機率")</f>
        <v>Impact 49事件機率</v>
      </c>
      <c r="B50" s="67" t="str">
        <f t="shared" si="1"/>
        <v>0.198%</v>
      </c>
      <c r="C50" s="70">
        <f>IFERROR(__xludf.DUMMYFUNCTION("""COMPUTED_VALUE"""),0.002419864867383406)</f>
        <v>0.002419864867</v>
      </c>
      <c r="D50" s="70">
        <f>IFERROR(__xludf.DUMMYFUNCTION("""COMPUTED_VALUE"""),0.0020196038346909856)</f>
        <v>0.002019603835</v>
      </c>
      <c r="E50" s="70">
        <f>IFERROR(__xludf.DUMMYFUNCTION("""COMPUTED_VALUE"""),0.002888682620542389)</f>
        <v>0.002888682621</v>
      </c>
      <c r="F50" s="70">
        <f>IFERROR(__xludf.DUMMYFUNCTION("""COMPUTED_VALUE"""),0.0024671614711876044)</f>
        <v>0.002467161471</v>
      </c>
      <c r="G50" s="70">
        <f>IFERROR(__xludf.DUMMYFUNCTION("""COMPUTED_VALUE"""),0.0015870134169427986)</f>
        <v>0.001587013417</v>
      </c>
      <c r="H50" s="70">
        <f>IFERROR(__xludf.DUMMYFUNCTION("""COMPUTED_VALUE"""),0.0018190651553895612)</f>
        <v>0.001819065155</v>
      </c>
      <c r="I50" s="70">
        <f>IFERROR(__xludf.DUMMYFUNCTION("""COMPUTED_VALUE"""),0.0026751213880838523)</f>
        <v>0.002675121388</v>
      </c>
      <c r="J50" s="70">
        <f>IFERROR(__xludf.DUMMYFUNCTION("""COMPUTED_VALUE"""),0.002674587485002706)</f>
        <v>0.002674587485</v>
      </c>
      <c r="K50" s="70">
        <f>IFERROR(__xludf.DUMMYFUNCTION("""COMPUTED_VALUE"""),0.002274619833335919)</f>
        <v>0.002274619833</v>
      </c>
      <c r="L50" s="70">
        <f>IFERROR(__xludf.DUMMYFUNCTION("""COMPUTED_VALUE"""),0.002274619833335919)</f>
        <v>0.002274619833</v>
      </c>
      <c r="M50" s="70">
        <f>IFERROR(__xludf.DUMMYFUNCTION("""COMPUTED_VALUE"""),0.001645820854876262)</f>
        <v>0.001645820855</v>
      </c>
      <c r="N50" s="70">
        <f>IFERROR(__xludf.DUMMYFUNCTION("""COMPUTED_VALUE"""),0.0014754631537066197)</f>
        <v>0.001475463154</v>
      </c>
      <c r="O50" s="70">
        <f>IFERROR(__xludf.DUMMYFUNCTION("""COMPUTED_VALUE"""),0.002010545698062129)</f>
        <v>0.002010545698</v>
      </c>
      <c r="P50" s="70">
        <f>IFERROR(__xludf.DUMMYFUNCTION("""COMPUTED_VALUE"""),0.0018461067829258072)</f>
        <v>0.001846106783</v>
      </c>
      <c r="Q50" s="70">
        <f>IFERROR(__xludf.DUMMYFUNCTION("""COMPUTED_VALUE"""),0.0023077075529653887)</f>
        <v>0.002307707553</v>
      </c>
      <c r="R50" s="70">
        <f>IFERROR(__xludf.DUMMYFUNCTION("""COMPUTED_VALUE"""),0.0023077075529653887)</f>
        <v>0.002307707553</v>
      </c>
      <c r="S50" s="70">
        <f>IFERROR(__xludf.DUMMYFUNCTION("""COMPUTED_VALUE"""),0.0020793829215639977)</f>
        <v>0.002079382922</v>
      </c>
      <c r="T50" s="70">
        <f>IFERROR(__xludf.DUMMYFUNCTION("""COMPUTED_VALUE"""),0.0015331517865786058)</f>
        <v>0.001533151787</v>
      </c>
      <c r="U50" s="70">
        <f>IFERROR(__xludf.DUMMYFUNCTION("""COMPUTED_VALUE"""),0.0015048032270074778)</f>
        <v>0.001504803227</v>
      </c>
      <c r="V50" s="70">
        <f>IFERROR(__xludf.DUMMYFUNCTION("""COMPUTED_VALUE"""),0.001279558734486536)</f>
        <v>0.001279558734</v>
      </c>
      <c r="W50" s="70">
        <f>IFERROR(__xludf.DUMMYFUNCTION("""COMPUTED_VALUE"""),0.0021787802651184237)</f>
        <v>0.002178780265</v>
      </c>
      <c r="X50" s="70">
        <f>IFERROR(__xludf.DUMMYFUNCTION("""COMPUTED_VALUE"""),0.0018813464528436258)</f>
        <v>0.001881346453</v>
      </c>
      <c r="Y50" s="70">
        <f>IFERROR(__xludf.DUMMYFUNCTION("""COMPUTED_VALUE"""),0.0022418672989759367)</f>
        <v>0.002241867299</v>
      </c>
      <c r="Z50" s="70">
        <f>IFERROR(__xludf.DUMMYFUNCTION("""COMPUTED_VALUE"""),0.0013871373307139815)</f>
        <v>0.001387137331</v>
      </c>
      <c r="AA50" s="70">
        <f>IFERROR(__xludf.DUMMYFUNCTION("""COMPUTED_VALUE"""),0.0011783612129115397)</f>
        <v>0.001178361213</v>
      </c>
      <c r="AB50" s="70">
        <f>IFERROR(__xludf.DUMMYFUNCTION("""COMPUTED_VALUE"""),0.0016945361851658344)</f>
        <v>0.001694536185</v>
      </c>
      <c r="AC50" s="70">
        <f>IFERROR(__xludf.DUMMYFUNCTION("""COMPUTED_VALUE"""),0.0014142491275903801)</f>
        <v>0.001414249128</v>
      </c>
    </row>
    <row r="51" ht="30.0" customHeight="1">
      <c r="A51" s="64" t="str">
        <f>IFERROR(__xludf.DUMMYFUNCTION("""COMPUTED_VALUE"""),"Impact 50事件機率")</f>
        <v>Impact 50事件機率</v>
      </c>
      <c r="B51" s="67" t="str">
        <f t="shared" si="1"/>
        <v>0.054%</v>
      </c>
      <c r="C51" s="69">
        <f>IFERROR(__xludf.DUMMYFUNCTION("""COMPUTED_VALUE"""),7.590411187783787E-4)</f>
        <v>0.0007590411188</v>
      </c>
      <c r="D51" s="69">
        <f>IFERROR(__xludf.DUMMYFUNCTION("""COMPUTED_VALUE"""),6.921873288916413E-4)</f>
        <v>0.0006921873289</v>
      </c>
      <c r="E51" s="69">
        <f>IFERROR(__xludf.DUMMYFUNCTION("""COMPUTED_VALUE"""),7.035322881340341E-4)</f>
        <v>0.0007035322881</v>
      </c>
      <c r="F51" s="69">
        <f>IFERROR(__xludf.DUMMYFUNCTION("""COMPUTED_VALUE"""),5.639805561712955E-4)</f>
        <v>0.0005639805562</v>
      </c>
      <c r="G51" s="69">
        <f>IFERROR(__xludf.DUMMYFUNCTION("""COMPUTED_VALUE"""),4.307155599302956E-4)</f>
        <v>0.0004307155599</v>
      </c>
      <c r="H51" s="69">
        <f>IFERROR(__xludf.DUMMYFUNCTION("""COMPUTED_VALUE"""),5.946808383497283E-4)</f>
        <v>0.0005946808383</v>
      </c>
      <c r="I51" s="69">
        <f>IFERROR(__xludf.DUMMYFUNCTION("""COMPUTED_VALUE"""),5.825120433629396E-4)</f>
        <v>0.0005825120434</v>
      </c>
      <c r="J51" s="69">
        <f>IFERROR(__xludf.DUMMYFUNCTION("""COMPUTED_VALUE"""),5.825120433629396E-4)</f>
        <v>0.0005825120434</v>
      </c>
      <c r="K51" s="69">
        <f>IFERROR(__xludf.DUMMYFUNCTION("""COMPUTED_VALUE"""),7.002863515858987E-4)</f>
        <v>0.0007002863516</v>
      </c>
      <c r="L51" s="69">
        <f>IFERROR(__xludf.DUMMYFUNCTION("""COMPUTED_VALUE"""),7.002863515858987E-4)</f>
        <v>0.0007002863516</v>
      </c>
      <c r="M51" s="69">
        <f>IFERROR(__xludf.DUMMYFUNCTION("""COMPUTED_VALUE"""),5.61041750158138E-4)</f>
        <v>0.0005610417502</v>
      </c>
      <c r="N51" s="69">
        <f>IFERROR(__xludf.DUMMYFUNCTION("""COMPUTED_VALUE"""),3.697588821734681E-4)</f>
        <v>0.0003697588822</v>
      </c>
      <c r="O51" s="69">
        <f>IFERROR(__xludf.DUMMYFUNCTION("""COMPUTED_VALUE"""),4.5706727064478156E-4)</f>
        <v>0.0004570672706</v>
      </c>
      <c r="P51" s="69">
        <f>IFERROR(__xludf.DUMMYFUNCTION("""COMPUTED_VALUE"""),5.099687611404675E-4)</f>
        <v>0.0005099687611</v>
      </c>
      <c r="Q51" s="69">
        <f>IFERROR(__xludf.DUMMYFUNCTION("""COMPUTED_VALUE"""),7.26228959062529E-4)</f>
        <v>0.0007262289591</v>
      </c>
      <c r="R51" s="69">
        <f>IFERROR(__xludf.DUMMYFUNCTION("""COMPUTED_VALUE"""),7.26228959062529E-4)</f>
        <v>0.0007262289591</v>
      </c>
      <c r="S51" s="69">
        <f>IFERROR(__xludf.DUMMYFUNCTION("""COMPUTED_VALUE"""),4.5025943010291704E-4)</f>
        <v>0.0004502594301</v>
      </c>
      <c r="T51" s="69">
        <f>IFERROR(__xludf.DUMMYFUNCTION("""COMPUTED_VALUE"""),3.628890098438391E-4)</f>
        <v>0.0003628890098</v>
      </c>
      <c r="U51" s="69">
        <f>IFERROR(__xludf.DUMMYFUNCTION("""COMPUTED_VALUE"""),4.6100236841072035E-4)</f>
        <v>0.0004610023684</v>
      </c>
      <c r="V51" s="69">
        <f>IFERROR(__xludf.DUMMYFUNCTION("""COMPUTED_VALUE"""),4.3382570131373586E-4)</f>
        <v>0.0004338257013</v>
      </c>
      <c r="W51" s="69">
        <f>IFERROR(__xludf.DUMMYFUNCTION("""COMPUTED_VALUE"""),5.615599932368424E-4)</f>
        <v>0.0005615599932</v>
      </c>
      <c r="X51" s="69">
        <f>IFERROR(__xludf.DUMMYFUNCTION("""COMPUTED_VALUE"""),4.2532531352634594E-4)</f>
        <v>0.0004253253135</v>
      </c>
      <c r="Y51" s="69">
        <f>IFERROR(__xludf.DUMMYFUNCTION("""COMPUTED_VALUE"""),5.898868831624136E-4)</f>
        <v>0.0005898868832</v>
      </c>
      <c r="Z51" s="69">
        <f>IFERROR(__xludf.DUMMYFUNCTION("""COMPUTED_VALUE"""),4.483569536925848E-4)</f>
        <v>0.0004483569537</v>
      </c>
      <c r="AA51" s="69">
        <f>IFERROR(__xludf.DUMMYFUNCTION("""COMPUTED_VALUE"""),3.510724140423015E-4)</f>
        <v>0.000351072414</v>
      </c>
      <c r="AB51" s="69">
        <f>IFERROR(__xludf.DUMMYFUNCTION("""COMPUTED_VALUE"""),4.0108785298529763E-4)</f>
        <v>0.000401087853</v>
      </c>
      <c r="AC51" s="69">
        <f>IFERROR(__xludf.DUMMYFUNCTION("""COMPUTED_VALUE"""),3.064287066454119E-4)</f>
        <v>0.0003064287066</v>
      </c>
    </row>
    <row r="52" ht="30.0" customHeight="1">
      <c r="A52" s="64" t="str">
        <f>IFERROR(__xludf.DUMMYFUNCTION("""COMPUTED_VALUE"""),"Impact 51事件機率")</f>
        <v>Impact 51事件機率</v>
      </c>
      <c r="B52" s="67" t="str">
        <f t="shared" si="1"/>
        <v>0.003%</v>
      </c>
      <c r="C52" s="70">
        <f>IFERROR(__xludf.DUMMYFUNCTION("""COMPUTED_VALUE"""),5.7149201780506764E-5)</f>
        <v>0.00005714920178</v>
      </c>
      <c r="D52" s="70">
        <f>IFERROR(__xludf.DUMMYFUNCTION("""COMPUTED_VALUE"""),3.5987798487616826E-5)</f>
        <v>0.00003598779849</v>
      </c>
      <c r="E52" s="70">
        <f>IFERROR(__xludf.DUMMYFUNCTION("""COMPUTED_VALUE"""),4.709095266679617E-5)</f>
        <v>0.00004709095267</v>
      </c>
      <c r="F52" s="70">
        <f>IFERROR(__xludf.DUMMYFUNCTION("""COMPUTED_VALUE"""),3.291881622116723E-5)</f>
        <v>0.00003291881622</v>
      </c>
      <c r="G52" s="70">
        <f>IFERROR(__xludf.DUMMYFUNCTION("""COMPUTED_VALUE"""),2.6741970370899526E-5)</f>
        <v>0.00002674197037</v>
      </c>
      <c r="H52" s="70">
        <f>IFERROR(__xludf.DUMMYFUNCTION("""COMPUTED_VALUE"""),3.849139124727258E-5)</f>
        <v>0.00003849139125</v>
      </c>
      <c r="I52" s="70">
        <f>IFERROR(__xludf.DUMMYFUNCTION("""COMPUTED_VALUE"""),4.1600210049408654E-5)</f>
        <v>0.00004160021005</v>
      </c>
      <c r="J52" s="70">
        <f>IFERROR(__xludf.DUMMYFUNCTION("""COMPUTED_VALUE"""),4.156974737568852E-5)</f>
        <v>0.00004156974738</v>
      </c>
      <c r="K52" s="70">
        <f>IFERROR(__xludf.DUMMYFUNCTION("""COMPUTED_VALUE"""),5.14691134298391E-5)</f>
        <v>0.00005146911343</v>
      </c>
      <c r="L52" s="70">
        <f>IFERROR(__xludf.DUMMYFUNCTION("""COMPUTED_VALUE"""),5.14691134298391E-5)</f>
        <v>0.00005146911343</v>
      </c>
      <c r="M52" s="70">
        <f>IFERROR(__xludf.DUMMYFUNCTION("""COMPUTED_VALUE"""),3.0015678429564263E-5)</f>
        <v>0.00003001567843</v>
      </c>
      <c r="N52" s="70">
        <f>IFERROR(__xludf.DUMMYFUNCTION("""COMPUTED_VALUE"""),2.4106350218770084E-5)</f>
        <v>0.00002410635022</v>
      </c>
      <c r="O52" s="70">
        <f>IFERROR(__xludf.DUMMYFUNCTION("""COMPUTED_VALUE"""),2.7393187085557045E-5)</f>
        <v>0.00002739318709</v>
      </c>
      <c r="P52" s="70">
        <f>IFERROR(__xludf.DUMMYFUNCTION("""COMPUTED_VALUE"""),3.201727847980162E-5)</f>
        <v>0.00003201727848</v>
      </c>
      <c r="Q52" s="70">
        <f>IFERROR(__xludf.DUMMYFUNCTION("""COMPUTED_VALUE"""),3.861039300343705E-5)</f>
        <v>0.000038610393</v>
      </c>
      <c r="R52" s="70">
        <f>IFERROR(__xludf.DUMMYFUNCTION("""COMPUTED_VALUE"""),3.861039300343705E-5)</f>
        <v>0.000038610393</v>
      </c>
      <c r="S52" s="70">
        <f>IFERROR(__xludf.DUMMYFUNCTION("""COMPUTED_VALUE"""),3.2877036457851593E-5)</f>
        <v>0.00003287703646</v>
      </c>
      <c r="T52" s="70">
        <f>IFERROR(__xludf.DUMMYFUNCTION("""COMPUTED_VALUE"""),1.7681646444960115E-5)</f>
        <v>0.00001768164644</v>
      </c>
      <c r="U52" s="70">
        <f>IFERROR(__xludf.DUMMYFUNCTION("""COMPUTED_VALUE"""),3.344214591526466E-5)</f>
        <v>0.00003344214592</v>
      </c>
      <c r="V52" s="70">
        <f>IFERROR(__xludf.DUMMYFUNCTION("""COMPUTED_VALUE"""),2.3844481691297022E-5)</f>
        <v>0.00002384448169</v>
      </c>
      <c r="W52" s="70">
        <f>IFERROR(__xludf.DUMMYFUNCTION("""COMPUTED_VALUE"""),3.5677172561493094E-5)</f>
        <v>0.00003567717256</v>
      </c>
      <c r="X52" s="70">
        <f>IFERROR(__xludf.DUMMYFUNCTION("""COMPUTED_VALUE"""),2.60947219058143E-5)</f>
        <v>0.00002609472191</v>
      </c>
      <c r="Y52" s="70">
        <f>IFERROR(__xludf.DUMMYFUNCTION("""COMPUTED_VALUE"""),3.472718272438354E-5)</f>
        <v>0.00003472718272</v>
      </c>
      <c r="Z52" s="70">
        <f>IFERROR(__xludf.DUMMYFUNCTION("""COMPUTED_VALUE"""),3.043844865627164E-5)</f>
        <v>0.00003043844866</v>
      </c>
      <c r="AA52" s="70">
        <f>IFERROR(__xludf.DUMMYFUNCTION("""COMPUTED_VALUE"""),2.5877164328125512E-5)</f>
        <v>0.00002587716433</v>
      </c>
      <c r="AB52" s="70">
        <f>IFERROR(__xludf.DUMMYFUNCTION("""COMPUTED_VALUE"""),1.954287238653487E-5)</f>
        <v>0.00001954287239</v>
      </c>
      <c r="AC52" s="70">
        <f>IFERROR(__xludf.DUMMYFUNCTION("""COMPUTED_VALUE"""),2.197022502815609E-5)</f>
        <v>0.00002197022503</v>
      </c>
    </row>
    <row r="53" ht="30.0" customHeight="1">
      <c r="A53" s="64" t="str">
        <f>IFERROR(__xludf.DUMMYFUNCTION("""COMPUTED_VALUE"""),"Impact 52事件機率")</f>
        <v>Impact 52事件機率</v>
      </c>
      <c r="B53" s="67" t="str">
        <f t="shared" si="1"/>
        <v>0.002%</v>
      </c>
      <c r="C53" s="69">
        <f>IFERROR(__xludf.DUMMYFUNCTION("""COMPUTED_VALUE"""),3.886474404873234E-5)</f>
        <v>0.00003886474405</v>
      </c>
      <c r="D53" s="69">
        <f>IFERROR(__xludf.DUMMYFUNCTION("""COMPUTED_VALUE"""),2.4228959008725967E-5)</f>
        <v>0.00002422895901</v>
      </c>
      <c r="E53" s="69">
        <f>IFERROR(__xludf.DUMMYFUNCTION("""COMPUTED_VALUE"""),3.188569736368318E-5)</f>
        <v>0.00003188569736</v>
      </c>
      <c r="F53" s="69">
        <f>IFERROR(__xludf.DUMMYFUNCTION("""COMPUTED_VALUE"""),2.2272534035651095E-5)</f>
        <v>0.00002227253404</v>
      </c>
      <c r="G53" s="69">
        <f>IFERROR(__xludf.DUMMYFUNCTION("""COMPUTED_VALUE"""),1.8102105745553505E-5)</f>
        <v>0.00001810210575</v>
      </c>
      <c r="H53" s="69">
        <f>IFERROR(__xludf.DUMMYFUNCTION("""COMPUTED_VALUE"""),2.6063562323892468E-5)</f>
        <v>0.00002606356232</v>
      </c>
      <c r="I53" s="69">
        <f>IFERROR(__xludf.DUMMYFUNCTION("""COMPUTED_VALUE"""),2.8187047278484065E-5)</f>
        <v>0.00002818704728</v>
      </c>
      <c r="J53" s="69">
        <f>IFERROR(__xludf.DUMMYFUNCTION("""COMPUTED_VALUE"""),2.8168827407854974E-5)</f>
        <v>0.00002816882741</v>
      </c>
      <c r="K53" s="69">
        <f>IFERROR(__xludf.DUMMYFUNCTION("""COMPUTED_VALUE"""),3.510422747087217E-5)</f>
        <v>0.00003510422747</v>
      </c>
      <c r="L53" s="69">
        <f>IFERROR(__xludf.DUMMYFUNCTION("""COMPUTED_VALUE"""),3.510422747087217E-5)</f>
        <v>0.00003510422747</v>
      </c>
      <c r="M53" s="69">
        <f>IFERROR(__xludf.DUMMYFUNCTION("""COMPUTED_VALUE"""),2.0211621656167865E-5)</f>
        <v>0.00002021162166</v>
      </c>
      <c r="N53" s="69">
        <f>IFERROR(__xludf.DUMMYFUNCTION("""COMPUTED_VALUE"""),1.6394158109767292E-5)</f>
        <v>0.00001639415811</v>
      </c>
      <c r="O53" s="69">
        <f>IFERROR(__xludf.DUMMYFUNCTION("""COMPUTED_VALUE"""),1.845527914153849E-5)</f>
        <v>0.00001845527914</v>
      </c>
      <c r="P53" s="69">
        <f>IFERROR(__xludf.DUMMYFUNCTION("""COMPUTED_VALUE"""),2.1855326020415325E-5)</f>
        <v>0.00002185532602</v>
      </c>
      <c r="Q53" s="69">
        <f>IFERROR(__xludf.DUMMYFUNCTION("""COMPUTED_VALUE"""),2.6246629158031828E-5)</f>
        <v>0.00002624662916</v>
      </c>
      <c r="R53" s="69">
        <f>IFERROR(__xludf.DUMMYFUNCTION("""COMPUTED_VALUE"""),2.6246629158031828E-5)</f>
        <v>0.00002624662916</v>
      </c>
      <c r="S53" s="69">
        <f>IFERROR(__xludf.DUMMYFUNCTION("""COMPUTED_VALUE"""),2.2157631900407052E-5)</f>
        <v>0.0000221576319</v>
      </c>
      <c r="T53" s="69">
        <f>IFERROR(__xludf.DUMMYFUNCTION("""COMPUTED_VALUE"""),1.200067375962837E-5)</f>
        <v>0.00001200067376</v>
      </c>
      <c r="U53" s="69">
        <f>IFERROR(__xludf.DUMMYFUNCTION("""COMPUTED_VALUE"""),2.2930272861650923E-5)</f>
        <v>0.00002293027286</v>
      </c>
      <c r="V53" s="69">
        <f>IFERROR(__xludf.DUMMYFUNCTION("""COMPUTED_VALUE"""),1.6103400386699745E-5)</f>
        <v>0.00001610340039</v>
      </c>
      <c r="W53" s="69">
        <f>IFERROR(__xludf.DUMMYFUNCTION("""COMPUTED_VALUE"""),2.427272029312835E-5)</f>
        <v>0.00002427272029</v>
      </c>
      <c r="X53" s="69">
        <f>IFERROR(__xludf.DUMMYFUNCTION("""COMPUTED_VALUE"""),1.7623250505419844E-5)</f>
        <v>0.00001762325051</v>
      </c>
      <c r="Y53" s="69">
        <f>IFERROR(__xludf.DUMMYFUNCTION("""COMPUTED_VALUE"""),2.3733411823024604E-5)</f>
        <v>0.00002373341182</v>
      </c>
      <c r="Z53" s="69">
        <f>IFERROR(__xludf.DUMMYFUNCTION("""COMPUTED_VALUE"""),2.0550220473467538E-5)</f>
        <v>0.00002055022047</v>
      </c>
      <c r="AA53" s="69">
        <f>IFERROR(__xludf.DUMMYFUNCTION("""COMPUTED_VALUE"""),1.743758267270503E-5)</f>
        <v>0.00001743758267</v>
      </c>
      <c r="AB53" s="69">
        <f>IFERROR(__xludf.DUMMYFUNCTION("""COMPUTED_VALUE"""),1.3263902576431351E-5)</f>
        <v>0.00001326390258</v>
      </c>
      <c r="AC53" s="69">
        <f>IFERROR(__xludf.DUMMYFUNCTION("""COMPUTED_VALUE"""),1.4984725543199638E-5)</f>
        <v>0.00001498472554</v>
      </c>
    </row>
    <row r="54" ht="30.0" customHeight="1">
      <c r="A54" s="64" t="str">
        <f>IFERROR(__xludf.DUMMYFUNCTION("""COMPUTED_VALUE"""),"Impact 53事件機率")</f>
        <v>Impact 53事件機率</v>
      </c>
      <c r="B54" s="67" t="str">
        <f t="shared" si="1"/>
        <v>0.001%</v>
      </c>
      <c r="C54" s="70">
        <f>IFERROR(__xludf.DUMMYFUNCTION("""COMPUTED_VALUE"""),2.3062603532445412E-5)</f>
        <v>0.00002306260353</v>
      </c>
      <c r="D54" s="70">
        <f>IFERROR(__xludf.DUMMYFUNCTION("""COMPUTED_VALUE"""),1.4371150746083778E-5)</f>
        <v>0.00001437115075</v>
      </c>
      <c r="E54" s="70">
        <f>IFERROR(__xludf.DUMMYFUNCTION("""COMPUTED_VALUE"""),1.9000475141206437E-5)</f>
        <v>0.00001900047514</v>
      </c>
      <c r="F54" s="70">
        <f>IFERROR(__xludf.DUMMYFUNCTION("""COMPUTED_VALUE"""),1.3096733235937504E-5)</f>
        <v>0.00001309673324</v>
      </c>
      <c r="G54" s="70">
        <f>IFERROR(__xludf.DUMMYFUNCTION("""COMPUTED_VALUE"""),1.073158682749937E-5)</f>
        <v>0.00001073158683</v>
      </c>
      <c r="H54" s="70">
        <f>IFERROR(__xludf.DUMMYFUNCTION("""COMPUTED_VALUE"""),1.5465589825364628E-5)</f>
        <v>0.00001546558983</v>
      </c>
      <c r="I54" s="70">
        <f>IFERROR(__xludf.DUMMYFUNCTION("""COMPUTED_VALUE"""),1.0536395954866819E-5)</f>
        <v>0.00001053639595</v>
      </c>
      <c r="J54" s="70">
        <f>IFERROR(__xludf.DUMMYFUNCTION("""COMPUTED_VALUE"""),1.6570697202441866E-5)</f>
        <v>0.0000165706972</v>
      </c>
      <c r="K54" s="70">
        <f>IFERROR(__xludf.DUMMYFUNCTION("""COMPUTED_VALUE"""),1.0991652048274682E-5)</f>
        <v>0.00001099165205</v>
      </c>
      <c r="L54" s="70">
        <f>IFERROR(__xludf.DUMMYFUNCTION("""COMPUTED_VALUE"""),1.0991652048274682E-5)</f>
        <v>0.00001099165205</v>
      </c>
      <c r="M54" s="70">
        <f>IFERROR(__xludf.DUMMYFUNCTION("""COMPUTED_VALUE"""),1.1955270625462003E-5)</f>
        <v>0.00001195527063</v>
      </c>
      <c r="N54" s="70">
        <f>IFERROR(__xludf.DUMMYFUNCTION("""COMPUTED_VALUE"""),9.674882168189119E-6)</f>
        <v>0.000009674882168</v>
      </c>
      <c r="O54" s="70">
        <f>IFERROR(__xludf.DUMMYFUNCTION("""COMPUTED_VALUE"""),1.0892550462402914E-5)</f>
        <v>0.00001089255046</v>
      </c>
      <c r="P54" s="70">
        <f>IFERROR(__xludf.DUMMYFUNCTION("""COMPUTED_VALUE"""),1.29791499647048E-5)</f>
        <v>0.00001297914996</v>
      </c>
      <c r="Q54" s="70">
        <f>IFERROR(__xludf.DUMMYFUNCTION("""COMPUTED_VALUE"""),1.4667322851557043E-5)</f>
        <v>0.00001466732285</v>
      </c>
      <c r="R54" s="70">
        <f>IFERROR(__xludf.DUMMYFUNCTION("""COMPUTED_VALUE"""),1.4667322851557043E-5)</f>
        <v>0.00001466732285</v>
      </c>
      <c r="S54" s="70">
        <f>IFERROR(__xludf.DUMMYFUNCTION("""COMPUTED_VALUE"""),1.3075721704036242E-5)</f>
        <v>0.0000130757217</v>
      </c>
      <c r="T54" s="70">
        <f>IFERROR(__xludf.DUMMYFUNCTION("""COMPUTED_VALUE"""),7.118347101524588E-6)</f>
        <v>0.000007118347102</v>
      </c>
      <c r="U54" s="70">
        <f>IFERROR(__xludf.DUMMYFUNCTION("""COMPUTED_VALUE"""),1.3710904387618339E-5)</f>
        <v>0.00001371090439</v>
      </c>
      <c r="V54" s="70">
        <f>IFERROR(__xludf.DUMMYFUNCTION("""COMPUTED_VALUE"""),9.4885044092723E-6)</f>
        <v>0.000009488504409</v>
      </c>
      <c r="W54" s="70">
        <f>IFERROR(__xludf.DUMMYFUNCTION("""COMPUTED_VALUE"""),1.4351587646313631E-5)</f>
        <v>0.00001435158765</v>
      </c>
      <c r="X54" s="70">
        <f>IFERROR(__xludf.DUMMYFUNCTION("""COMPUTED_VALUE"""),1.0442673356661629E-5)</f>
        <v>0.00001044267336</v>
      </c>
      <c r="Y54" s="70">
        <f>IFERROR(__xludf.DUMMYFUNCTION("""COMPUTED_VALUE"""),1.4140467569967423E-5)</f>
        <v>0.00001414046757</v>
      </c>
      <c r="Z54" s="70">
        <f>IFERROR(__xludf.DUMMYFUNCTION("""COMPUTED_VALUE"""),1.2158044848404548E-5)</f>
        <v>0.00001215804485</v>
      </c>
      <c r="AA54" s="70">
        <f>IFERROR(__xludf.DUMMYFUNCTION("""COMPUTED_VALUE"""),1.0280200297316459E-5)</f>
        <v>0.0000102802003</v>
      </c>
      <c r="AB54" s="70">
        <f>IFERROR(__xludf.DUMMYFUNCTION("""COMPUTED_VALUE"""),7.86764679642191E-6)</f>
        <v>0.000007867646796</v>
      </c>
      <c r="AC54" s="70">
        <f>IFERROR(__xludf.DUMMYFUNCTION("""COMPUTED_VALUE"""),8.935532964216732E-6)</f>
        <v>0.000008935532964</v>
      </c>
    </row>
    <row r="55" ht="30.0" customHeight="1">
      <c r="A55" s="64" t="str">
        <f>IFERROR(__xludf.DUMMYFUNCTION("""COMPUTED_VALUE"""),"Impact 54事件機率")</f>
        <v>Impact 54事件機率</v>
      </c>
      <c r="B55" s="67" t="str">
        <f t="shared" si="1"/>
        <v>0.001%</v>
      </c>
      <c r="C55" s="69">
        <f>IFERROR(__xludf.DUMMYFUNCTION("""COMPUTED_VALUE"""),2.5361934772004786E-5)</f>
        <v>0.00002536193477</v>
      </c>
      <c r="D55" s="69">
        <f>IFERROR(__xludf.DUMMYFUNCTION("""COMPUTED_VALUE"""),1.5776443790594188E-5)</f>
        <v>0.00001577644379</v>
      </c>
      <c r="E55" s="69">
        <f>IFERROR(__xludf.DUMMYFUNCTION("""COMPUTED_VALUE"""),2.0838636678891275E-5)</f>
        <v>0.00002083863668</v>
      </c>
      <c r="F55" s="69">
        <f>IFERROR(__xludf.DUMMYFUNCTION("""COMPUTED_VALUE"""),1.4329906859785816E-5)</f>
        <v>0.00001432990686</v>
      </c>
      <c r="G55" s="69">
        <f>IFERROR(__xludf.DUMMYFUNCTION("""COMPUTED_VALUE"""),1.1761055096082888E-5)</f>
        <v>0.0000117610551</v>
      </c>
      <c r="H55" s="69">
        <f>IFERROR(__xludf.DUMMYFUNCTION("""COMPUTED_VALUE"""),1.6931414558854802E-5)</f>
        <v>0.00001693141456</v>
      </c>
      <c r="I55" s="69">
        <f>IFERROR(__xludf.DUMMYFUNCTION("""COMPUTED_VALUE"""),1.1544774151701524E-5)</f>
        <v>0.00001154477415</v>
      </c>
      <c r="J55" s="69">
        <f>IFERROR(__xludf.DUMMYFUNCTION("""COMPUTED_VALUE"""),1.8126029252105762E-5)</f>
        <v>0.00001812602925</v>
      </c>
      <c r="K55" s="69">
        <f>IFERROR(__xludf.DUMMYFUNCTION("""COMPUTED_VALUE"""),1.2107722367491927E-5)</f>
        <v>0.00001210772237</v>
      </c>
      <c r="L55" s="69">
        <f>IFERROR(__xludf.DUMMYFUNCTION("""COMPUTED_VALUE"""),1.2107722367491927E-5)</f>
        <v>0.00001210772237</v>
      </c>
      <c r="M55" s="69">
        <f>IFERROR(__xludf.DUMMYFUNCTION("""COMPUTED_VALUE"""),1.311068189190907E-5)</f>
        <v>0.00001311068189</v>
      </c>
      <c r="N55" s="69">
        <f>IFERROR(__xludf.DUMMYFUNCTION("""COMPUTED_VALUE"""),1.0647278968696884E-5)</f>
        <v>0.00001064727897</v>
      </c>
      <c r="O55" s="69">
        <f>IFERROR(__xludf.DUMMYFUNCTION("""COMPUTED_VALUE"""),1.1965147918008608E-5)</f>
        <v>0.00001196514792</v>
      </c>
      <c r="P55" s="69">
        <f>IFERROR(__xludf.DUMMYFUNCTION("""COMPUTED_VALUE"""),1.4308269509452491E-5)</f>
        <v>0.00001430826951</v>
      </c>
      <c r="Q55" s="69">
        <f>IFERROR(__xludf.DUMMYFUNCTION("""COMPUTED_VALUE"""),1.6113818691958617E-5)</f>
        <v>0.00001611381869</v>
      </c>
      <c r="R55" s="69">
        <f>IFERROR(__xludf.DUMMYFUNCTION("""COMPUTED_VALUE"""),1.6113818691958617E-5)</f>
        <v>0.00001611381869</v>
      </c>
      <c r="S55" s="69">
        <f>IFERROR(__xludf.DUMMYFUNCTION("""COMPUTED_VALUE"""),1.4374092728942248E-5)</f>
        <v>0.00001437409273</v>
      </c>
      <c r="T55" s="69">
        <f>IFERROR(__xludf.DUMMYFUNCTION("""COMPUTED_VALUE"""),7.81618227566533E-6)</f>
        <v>0.000007816182276</v>
      </c>
      <c r="U55" s="69">
        <f>IFERROR(__xludf.DUMMYFUNCTION("""COMPUTED_VALUE"""),1.5047303080386841E-5)</f>
        <v>0.00001504730308</v>
      </c>
      <c r="V55" s="69">
        <f>IFERROR(__xludf.DUMMYFUNCTION("""COMPUTED_VALUE"""),1.0386424945132022E-5)</f>
        <v>0.00001038642495</v>
      </c>
      <c r="W55" s="69">
        <f>IFERROR(__xludf.DUMMYFUNCTION("""COMPUTED_VALUE"""),1.5714965527182012E-5)</f>
        <v>0.00001571496553</v>
      </c>
      <c r="X55" s="69">
        <f>IFERROR(__xludf.DUMMYFUNCTION("""COMPUTED_VALUE"""),1.1420693049819262E-5)</f>
        <v>0.00001142069305</v>
      </c>
      <c r="Y55" s="69">
        <f>IFERROR(__xludf.DUMMYFUNCTION("""COMPUTED_VALUE"""),1.5511204725116506E-5)</f>
        <v>0.00001551120473</v>
      </c>
      <c r="Z55" s="69">
        <f>IFERROR(__xludf.DUMMYFUNCTION("""COMPUTED_VALUE"""),1.3305952898067753E-5)</f>
        <v>0.0000133059529</v>
      </c>
      <c r="AA55" s="69">
        <f>IFERROR(__xludf.DUMMYFUNCTION("""COMPUTED_VALUE"""),1.1314150265107275E-5)</f>
        <v>0.00001131415027</v>
      </c>
      <c r="AB55" s="69">
        <f>IFERROR(__xludf.DUMMYFUNCTION("""COMPUTED_VALUE"""),8.638938304682686E-6)</f>
        <v>0.000008638938305</v>
      </c>
      <c r="AC55" s="69">
        <f>IFERROR(__xludf.DUMMYFUNCTION("""COMPUTED_VALUE"""),9.80201745635816E-6)</f>
        <v>0.000009802017456</v>
      </c>
    </row>
    <row r="56" ht="30.0" customHeight="1">
      <c r="A56" s="64" t="str">
        <f>IFERROR(__xludf.DUMMYFUNCTION("""COMPUTED_VALUE"""),"Impact 55事件機率")</f>
        <v>Impact 55事件機率</v>
      </c>
      <c r="B56" s="67" t="str">
        <f t="shared" si="1"/>
        <v>0.003%</v>
      </c>
      <c r="C56" s="70">
        <f>IFERROR(__xludf.DUMMYFUNCTION("""COMPUTED_VALUE"""),4.5242805595502767E-5)</f>
        <v>0.0000452428056</v>
      </c>
      <c r="D56" s="70">
        <f>IFERROR(__xludf.DUMMYFUNCTION("""COMPUTED_VALUE"""),2.829494921043846E-5)</f>
        <v>0.00002829494921</v>
      </c>
      <c r="E56" s="70">
        <f>IFERROR(__xludf.DUMMYFUNCTION("""COMPUTED_VALUE"""),3.737922326453758E-5)</f>
        <v>0.00003737922326</v>
      </c>
      <c r="F56" s="70">
        <f>IFERROR(__xludf.DUMMYFUNCTION("""COMPUTED_VALUE"""),2.564565034534641E-5)</f>
        <v>0.00002564565035</v>
      </c>
      <c r="G56" s="70">
        <f>IFERROR(__xludf.DUMMYFUNCTION("""COMPUTED_VALUE"""),2.1626852392140357E-5)</f>
        <v>0.00002162685239</v>
      </c>
      <c r="H56" s="70">
        <f>IFERROR(__xludf.DUMMYFUNCTION("""COMPUTED_VALUE"""),2.9917839219062605E-5)</f>
        <v>0.00002991783922</v>
      </c>
      <c r="I56" s="70">
        <f>IFERROR(__xludf.DUMMYFUNCTION("""COMPUTED_VALUE"""),2.060529424393752E-5)</f>
        <v>0.00002060529424</v>
      </c>
      <c r="J56" s="70">
        <f>IFERROR(__xludf.DUMMYFUNCTION("""COMPUTED_VALUE"""),3.2448388915952935E-5)</f>
        <v>0.00003244838892</v>
      </c>
      <c r="K56" s="70">
        <f>IFERROR(__xludf.DUMMYFUNCTION("""COMPUTED_VALUE"""),2.1538470203843536E-5)</f>
        <v>0.0000215384702</v>
      </c>
      <c r="L56" s="70">
        <f>IFERROR(__xludf.DUMMYFUNCTION("""COMPUTED_VALUE"""),2.1538470203843536E-5)</f>
        <v>0.0000215384702</v>
      </c>
      <c r="M56" s="70">
        <f>IFERROR(__xludf.DUMMYFUNCTION("""COMPUTED_VALUE"""),2.354250222477247E-5)</f>
        <v>0.00002354250222</v>
      </c>
      <c r="N56" s="70">
        <f>IFERROR(__xludf.DUMMYFUNCTION("""COMPUTED_VALUE"""),1.912329819286325E-5)</f>
        <v>0.00001912329819</v>
      </c>
      <c r="O56" s="70">
        <f>IFERROR(__xludf.DUMMYFUNCTION("""COMPUTED_VALUE"""),2.132374072190911E-5)</f>
        <v>0.00002132374072</v>
      </c>
      <c r="P56" s="70">
        <f>IFERROR(__xludf.DUMMYFUNCTION("""COMPUTED_VALUE"""),2.6396518162906485E-5)</f>
        <v>0.00002639651816</v>
      </c>
      <c r="Q56" s="70">
        <f>IFERROR(__xludf.DUMMYFUNCTION("""COMPUTED_VALUE"""),2.8573415937228645E-5)</f>
        <v>0.00002857341594</v>
      </c>
      <c r="R56" s="70">
        <f>IFERROR(__xludf.DUMMYFUNCTION("""COMPUTED_VALUE"""),2.8573415937228645E-5)</f>
        <v>0.00002857341594</v>
      </c>
      <c r="S56" s="70">
        <f>IFERROR(__xludf.DUMMYFUNCTION("""COMPUTED_VALUE"""),2.5740883734024847E-5)</f>
        <v>0.00002574088373</v>
      </c>
      <c r="T56" s="70">
        <f>IFERROR(__xludf.DUMMYFUNCTION("""COMPUTED_VALUE"""),1.3974556033363382E-5)</f>
        <v>0.00001397455603</v>
      </c>
      <c r="U56" s="70">
        <f>IFERROR(__xludf.DUMMYFUNCTION("""COMPUTED_VALUE"""),2.6822896938630422E-5)</f>
        <v>0.00002682289694</v>
      </c>
      <c r="V56" s="70">
        <f>IFERROR(__xludf.DUMMYFUNCTION("""COMPUTED_VALUE"""),1.8659767692984946E-5)</f>
        <v>0.00001865976769</v>
      </c>
      <c r="W56" s="70">
        <f>IFERROR(__xludf.DUMMYFUNCTION("""COMPUTED_VALUE"""),2.83068205507251E-5)</f>
        <v>0.00002830682055</v>
      </c>
      <c r="X56" s="70">
        <f>IFERROR(__xludf.DUMMYFUNCTION("""COMPUTED_VALUE"""),2.0284614185687976E-5)</f>
        <v>0.00002028461419</v>
      </c>
      <c r="Y56" s="70">
        <f>IFERROR(__xludf.DUMMYFUNCTION("""COMPUTED_VALUE"""),2.795031475339619E-5)</f>
        <v>0.00002795031475</v>
      </c>
      <c r="Z56" s="70">
        <f>IFERROR(__xludf.DUMMYFUNCTION("""COMPUTED_VALUE"""),2.368695309584395E-5)</f>
        <v>0.0000236869531</v>
      </c>
      <c r="AA56" s="70">
        <f>IFERROR(__xludf.DUMMYFUNCTION("""COMPUTED_VALUE"""),2.02563951022156E-5)</f>
        <v>0.0000202563951</v>
      </c>
      <c r="AB56" s="70">
        <f>IFERROR(__xludf.DUMMYFUNCTION("""COMPUTED_VALUE"""),1.5445561931612087E-5)</f>
        <v>0.00001544556193</v>
      </c>
      <c r="AC56" s="70">
        <f>IFERROR(__xludf.DUMMYFUNCTION("""COMPUTED_VALUE"""),1.751297510417789E-5)</f>
        <v>0.0000175129751</v>
      </c>
    </row>
    <row r="57" ht="30.0" customHeight="1">
      <c r="A57" s="64" t="str">
        <f>IFERROR(__xludf.DUMMYFUNCTION("""COMPUTED_VALUE"""),"Impact 56事件機率")</f>
        <v>Impact 56事件機率</v>
      </c>
      <c r="B57" s="67" t="str">
        <f t="shared" si="1"/>
        <v>0.002%</v>
      </c>
      <c r="C57" s="69">
        <f>IFERROR(__xludf.DUMMYFUNCTION("""COMPUTED_VALUE"""),3.075833949790828E-5)</f>
        <v>0.0000307583395</v>
      </c>
      <c r="D57" s="69">
        <f>IFERROR(__xludf.DUMMYFUNCTION("""COMPUTED_VALUE"""),1.9065581172914933E-5)</f>
        <v>0.00001906558117</v>
      </c>
      <c r="E57" s="69">
        <f>IFERROR(__xludf.DUMMYFUNCTION("""COMPUTED_VALUE"""),2.5319641430578773E-5)</f>
        <v>0.00002531964143</v>
      </c>
      <c r="F57" s="69">
        <f>IFERROR(__xludf.DUMMYFUNCTION("""COMPUTED_VALUE"""),1.7350160324135757E-5)</f>
        <v>0.00001735016032</v>
      </c>
      <c r="G57" s="69">
        <f>IFERROR(__xludf.DUMMYFUNCTION("""COMPUTED_VALUE"""),1.4642431536565665E-5)</f>
        <v>0.00001464243154</v>
      </c>
      <c r="H57" s="69">
        <f>IFERROR(__xludf.DUMMYFUNCTION("""COMPUTED_VALUE"""),2.0254555107504257E-5)</f>
        <v>0.00002025455511</v>
      </c>
      <c r="I57" s="69">
        <f>IFERROR(__xludf.DUMMYFUNCTION("""COMPUTED_VALUE"""),1.3932703721342056E-5)</f>
        <v>0.00001393270372</v>
      </c>
      <c r="J57" s="69">
        <f>IFERROR(__xludf.DUMMYFUNCTION("""COMPUTED_VALUE"""),2.1987724759091034E-5)</f>
        <v>0.00002198772476</v>
      </c>
      <c r="K57" s="69">
        <f>IFERROR(__xludf.DUMMYFUNCTION("""COMPUTED_VALUE"""),1.4668554923958465E-5)</f>
        <v>0.00001466855492</v>
      </c>
      <c r="L57" s="69">
        <f>IFERROR(__xludf.DUMMYFUNCTION("""COMPUTED_VALUE"""),1.4668554923958465E-5)</f>
        <v>0.00001466855492</v>
      </c>
      <c r="M57" s="69">
        <f>IFERROR(__xludf.DUMMYFUNCTION("""COMPUTED_VALUE"""),1.5869064330761994E-5)</f>
        <v>0.00001586906433</v>
      </c>
      <c r="N57" s="69">
        <f>IFERROR(__xludf.DUMMYFUNCTION("""COMPUTED_VALUE"""),1.300149994986356E-5)</f>
        <v>0.00001300149995</v>
      </c>
      <c r="O57" s="69">
        <f>IFERROR(__xludf.DUMMYFUNCTION("""COMPUTED_VALUE"""),1.4372179130947618E-5)</f>
        <v>0.00001437217913</v>
      </c>
      <c r="P57" s="69">
        <f>IFERROR(__xludf.DUMMYFUNCTION("""COMPUTED_VALUE"""),1.802137481885521E-5)</f>
        <v>0.00001802137482</v>
      </c>
      <c r="Q57" s="69">
        <f>IFERROR(__xludf.DUMMYFUNCTION("""COMPUTED_VALUE"""),1.9238196014133586E-5)</f>
        <v>0.00001923819601</v>
      </c>
      <c r="R57" s="69">
        <f>IFERROR(__xludf.DUMMYFUNCTION("""COMPUTED_VALUE"""),1.9238196014133586E-5)</f>
        <v>0.00001923819601</v>
      </c>
      <c r="S57" s="69">
        <f>IFERROR(__xludf.DUMMYFUNCTION("""COMPUTED_VALUE"""),1.7327791647457154E-5)</f>
        <v>0.00001732779165</v>
      </c>
      <c r="T57" s="69">
        <f>IFERROR(__xludf.DUMMYFUNCTION("""COMPUTED_VALUE"""),9.48191095641894E-6)</f>
        <v>0.000009481910956</v>
      </c>
      <c r="U57" s="69">
        <f>IFERROR(__xludf.DUMMYFUNCTION("""COMPUTED_VALUE"""),1.8358360718189015E-5)</f>
        <v>0.00001835836072</v>
      </c>
      <c r="V57" s="69">
        <f>IFERROR(__xludf.DUMMYFUNCTION("""COMPUTED_VALUE"""),1.2610693635349629E-5)</f>
        <v>0.00001261069364</v>
      </c>
      <c r="W57" s="69">
        <f>IFERROR(__xludf.DUMMYFUNCTION("""COMPUTED_VALUE"""),1.9252334245075775E-5)</f>
        <v>0.00001925233425</v>
      </c>
      <c r="X57" s="69">
        <f>IFERROR(__xludf.DUMMYFUNCTION("""COMPUTED_VALUE"""),1.370238348070774E-5)</f>
        <v>0.00001370238348</v>
      </c>
      <c r="Y57" s="69">
        <f>IFERROR(__xludf.DUMMYFUNCTION("""COMPUTED_VALUE"""),1.9109880076576817E-5)</f>
        <v>0.00001910988008</v>
      </c>
      <c r="Z57" s="69">
        <f>IFERROR(__xludf.DUMMYFUNCTION("""COMPUTED_VALUE"""),1.5985574091212865E-5)</f>
        <v>0.00001598557409</v>
      </c>
      <c r="AA57" s="69">
        <f>IFERROR(__xludf.DUMMYFUNCTION("""COMPUTED_VALUE"""),1.3624155629659168E-5)</f>
        <v>0.00001362415563</v>
      </c>
      <c r="AB57" s="69">
        <f>IFERROR(__xludf.DUMMYFUNCTION("""COMPUTED_VALUE"""),1.048000684656827E-5)</f>
        <v>0.00001048000685</v>
      </c>
      <c r="AC57" s="69">
        <f>IFERROR(__xludf.DUMMYFUNCTION("""COMPUTED_VALUE"""),1.193282544849176E-5)</f>
        <v>0.00001193282545</v>
      </c>
    </row>
    <row r="58" ht="30.0" customHeight="1">
      <c r="A58" s="64" t="str">
        <f>IFERROR(__xludf.DUMMYFUNCTION("""COMPUTED_VALUE"""),"Impact 57事件機率")</f>
        <v>Impact 57事件機率</v>
      </c>
      <c r="B58" s="67" t="str">
        <f t="shared" si="1"/>
        <v>0.002%</v>
      </c>
      <c r="C58" s="70">
        <f>IFERROR(__xludf.DUMMYFUNCTION("""COMPUTED_VALUE"""),2.7859049808363426E-5)</f>
        <v>0.00002785904981</v>
      </c>
      <c r="D58" s="70">
        <f>IFERROR(__xludf.DUMMYFUNCTION("""COMPUTED_VALUE"""),1.734001450880477E-5)</f>
        <v>0.00001734001451</v>
      </c>
      <c r="E58" s="70">
        <f>IFERROR(__xludf.DUMMYFUNCTION("""COMPUTED_VALUE"""),2.2938836156330874E-5)</f>
        <v>0.00002293883616</v>
      </c>
      <c r="F58" s="70">
        <f>IFERROR(__xludf.DUMMYFUNCTION("""COMPUTED_VALUE"""),1.5712510704586224E-5)</f>
        <v>0.0000157125107</v>
      </c>
      <c r="G58" s="70">
        <f>IFERROR(__xludf.DUMMYFUNCTION("""COMPUTED_VALUE"""),1.3266045906135518E-5)</f>
        <v>0.00001326604591</v>
      </c>
      <c r="H58" s="70">
        <f>IFERROR(__xludf.DUMMYFUNCTION("""COMPUTED_VALUE"""),1.8367351070076817E-5)</f>
        <v>0.00001836735107</v>
      </c>
      <c r="I58" s="70">
        <f>IFERROR(__xludf.DUMMYFUNCTION("""COMPUTED_VALUE"""),1.2672425608233174E-5)</f>
        <v>0.00001267242561</v>
      </c>
      <c r="J58" s="70">
        <f>IFERROR(__xludf.DUMMYFUNCTION("""COMPUTED_VALUE"""),1.9994119868514093E-5)</f>
        <v>0.00001999411987</v>
      </c>
      <c r="K58" s="70">
        <f>IFERROR(__xludf.DUMMYFUNCTION("""COMPUTED_VALUE"""),1.3307440526151827E-5)</f>
        <v>0.00001330744053</v>
      </c>
      <c r="L58" s="70">
        <f>IFERROR(__xludf.DUMMYFUNCTION("""COMPUTED_VALUE"""),1.3307440526151827E-5)</f>
        <v>0.00001330744053</v>
      </c>
      <c r="M58" s="70">
        <f>IFERROR(__xludf.DUMMYFUNCTION("""COMPUTED_VALUE"""),1.4406986697318964E-5)</f>
        <v>0.0000144069867</v>
      </c>
      <c r="N58" s="70">
        <f>IFERROR(__xludf.DUMMYFUNCTION("""COMPUTED_VALUE"""),1.171756163098127E-5)</f>
        <v>0.00001171756163</v>
      </c>
      <c r="O58" s="70">
        <f>IFERROR(__xludf.DUMMYFUNCTION("""COMPUTED_VALUE"""),1.3017179892832722E-5)</f>
        <v>0.00001301717989</v>
      </c>
      <c r="P58" s="70">
        <f>IFERROR(__xludf.DUMMYFUNCTION("""COMPUTED_VALUE"""),1.6237857558330083E-5)</f>
        <v>0.00001623785756</v>
      </c>
      <c r="Q58" s="70">
        <f>IFERROR(__xludf.DUMMYFUNCTION("""COMPUTED_VALUE"""),1.7495429469138974E-5)</f>
        <v>0.00001749542947</v>
      </c>
      <c r="R58" s="70">
        <f>IFERROR(__xludf.DUMMYFUNCTION("""COMPUTED_VALUE"""),1.7495429469138974E-5)</f>
        <v>0.00001749542947</v>
      </c>
      <c r="S58" s="70">
        <f>IFERROR(__xludf.DUMMYFUNCTION("""COMPUTED_VALUE"""),1.57833061213621E-5)</f>
        <v>0.00001578330612</v>
      </c>
      <c r="T58" s="70">
        <f>IFERROR(__xludf.DUMMYFUNCTION("""COMPUTED_VALUE"""),8.589320247858893E-6)</f>
        <v>0.000008589320248</v>
      </c>
      <c r="U58" s="70">
        <f>IFERROR(__xludf.DUMMYFUNCTION("""COMPUTED_VALUE"""),1.653832832691281E-5)</f>
        <v>0.00001653832833</v>
      </c>
      <c r="V58" s="70">
        <f>IFERROR(__xludf.DUMMYFUNCTION("""COMPUTED_VALUE"""),1.1426736943788139E-5)</f>
        <v>0.00001142673694</v>
      </c>
      <c r="W58" s="70">
        <f>IFERROR(__xludf.DUMMYFUNCTION("""COMPUTED_VALUE"""),1.738744337393375E-5)</f>
        <v>0.00001738744337</v>
      </c>
      <c r="X58" s="70">
        <f>IFERROR(__xludf.DUMMYFUNCTION("""COMPUTED_VALUE"""),1.2442022681601464E-5)</f>
        <v>0.00001244202268</v>
      </c>
      <c r="Y58" s="70">
        <f>IFERROR(__xludf.DUMMYFUNCTION("""COMPUTED_VALUE"""),1.7271248843576737E-5)</f>
        <v>0.00001727124884</v>
      </c>
      <c r="Z58" s="70">
        <f>IFERROR(__xludf.DUMMYFUNCTION("""COMPUTED_VALUE"""),1.4573637182483123E-5)</f>
        <v>0.00001457363718</v>
      </c>
      <c r="AA58" s="70">
        <f>IFERROR(__xludf.DUMMYFUNCTION("""COMPUTED_VALUE"""),1.2403109780490542E-5)</f>
        <v>0.00001240310978</v>
      </c>
      <c r="AB58" s="70">
        <f>IFERROR(__xludf.DUMMYFUNCTION("""COMPUTED_VALUE"""),9.493459221317713E-6)</f>
        <v>0.000009493459221</v>
      </c>
      <c r="AC58" s="70">
        <f>IFERROR(__xludf.DUMMYFUNCTION("""COMPUTED_VALUE"""),1.0775268411616856E-5)</f>
        <v>0.00001077526841</v>
      </c>
    </row>
    <row r="59" ht="30.0" customHeight="1">
      <c r="A59" s="64" t="str">
        <f>IFERROR(__xludf.DUMMYFUNCTION("""COMPUTED_VALUE"""),"Impact 58事件機率")</f>
        <v>Impact 58事件機率</v>
      </c>
      <c r="B59" s="67" t="str">
        <f t="shared" si="1"/>
        <v>0.002%</v>
      </c>
      <c r="C59" s="69">
        <f>IFERROR(__xludf.DUMMYFUNCTION("""COMPUTED_VALUE"""),3.063257457922352E-5)</f>
        <v>0.00003063257458</v>
      </c>
      <c r="D59" s="69">
        <f>IFERROR(__xludf.DUMMYFUNCTION("""COMPUTED_VALUE"""),1.903291755775965E-5)</f>
        <v>0.00001903291756</v>
      </c>
      <c r="E59" s="69">
        <f>IFERROR(__xludf.DUMMYFUNCTION("""COMPUTED_VALUE"""),2.5151735742900066E-5)</f>
        <v>0.00002515173574</v>
      </c>
      <c r="F59" s="69">
        <f>IFERROR(__xludf.DUMMYFUNCTION("""COMPUTED_VALUE"""),1.719842614485146E-5)</f>
        <v>0.00001719842614</v>
      </c>
      <c r="G59" s="69">
        <f>IFERROR(__xludf.DUMMYFUNCTION("""COMPUTED_VALUE"""),1.454175435248981E-5)</f>
        <v>0.00001454175435</v>
      </c>
      <c r="H59" s="69">
        <f>IFERROR(__xludf.DUMMYFUNCTION("""COMPUTED_VALUE"""),2.009391049848731E-5)</f>
        <v>0.0000200939105</v>
      </c>
      <c r="I59" s="69">
        <f>IFERROR(__xludf.DUMMYFUNCTION("""COMPUTED_VALUE"""),1.3880854383164856E-5)</f>
        <v>0.00001388085438</v>
      </c>
      <c r="J59" s="69">
        <f>IFERROR(__xludf.DUMMYFUNCTION("""COMPUTED_VALUE"""),2.187217662916902E-5)</f>
        <v>0.00002187217663</v>
      </c>
      <c r="K59" s="69">
        <f>IFERROR(__xludf.DUMMYFUNCTION("""COMPUTED_VALUE"""),1.4663812800498876E-5)</f>
        <v>0.0000146638128</v>
      </c>
      <c r="L59" s="69">
        <f>IFERROR(__xludf.DUMMYFUNCTION("""COMPUTED_VALUE"""),1.4663812800498876E-5)</f>
        <v>0.0000146638128</v>
      </c>
      <c r="M59" s="69">
        <f>IFERROR(__xludf.DUMMYFUNCTION("""COMPUTED_VALUE"""),1.5801805500410784E-5)</f>
        <v>0.0000158018055</v>
      </c>
      <c r="N59" s="69">
        <f>IFERROR(__xludf.DUMMYFUNCTION("""COMPUTED_VALUE"""),1.2890414308243427E-5)</f>
        <v>0.00001289041431</v>
      </c>
      <c r="O59" s="69">
        <f>IFERROR(__xludf.DUMMYFUNCTION("""COMPUTED_VALUE"""),1.429937452967831E-5)</f>
        <v>0.00001429937453</v>
      </c>
      <c r="P59" s="69">
        <f>IFERROR(__xludf.DUMMYFUNCTION("""COMPUTED_VALUE"""),1.791419839636224E-5)</f>
        <v>0.0000179141984</v>
      </c>
      <c r="Q59" s="69">
        <f>IFERROR(__xludf.DUMMYFUNCTION("""COMPUTED_VALUE"""),1.9225247746654104E-5)</f>
        <v>0.00001922524775</v>
      </c>
      <c r="R59" s="69">
        <f>IFERROR(__xludf.DUMMYFUNCTION("""COMPUTED_VALUE"""),1.9225247746654104E-5)</f>
        <v>0.00001922524775</v>
      </c>
      <c r="S59" s="69">
        <f>IFERROR(__xludf.DUMMYFUNCTION("""COMPUTED_VALUE"""),1.7348913925132754E-5)</f>
        <v>0.00001734891393</v>
      </c>
      <c r="T59" s="69">
        <f>IFERROR(__xludf.DUMMYFUNCTION("""COMPUTED_VALUE"""),9.430025315000431E-6)</f>
        <v>0.000009430025315</v>
      </c>
      <c r="U59" s="69">
        <f>IFERROR(__xludf.DUMMYFUNCTION("""COMPUTED_VALUE"""),1.8148882040348142E-5)</f>
        <v>0.00001814888204</v>
      </c>
      <c r="V59" s="69">
        <f>IFERROR(__xludf.DUMMYFUNCTION("""COMPUTED_VALUE"""),1.2505852204512858E-5)</f>
        <v>0.0000125058522</v>
      </c>
      <c r="W59" s="69">
        <f>IFERROR(__xludf.DUMMYFUNCTION("""COMPUTED_VALUE"""),1.9044941738350787E-5)</f>
        <v>0.00001904494174</v>
      </c>
      <c r="X59" s="69">
        <f>IFERROR(__xludf.DUMMYFUNCTION("""COMPUTED_VALUE"""),1.3614391980346058E-5)</f>
        <v>0.00001361439198</v>
      </c>
      <c r="Y59" s="69">
        <f>IFERROR(__xludf.DUMMYFUNCTION("""COMPUTED_VALUE"""),1.8945743182648704E-5)</f>
        <v>0.00001894574318</v>
      </c>
      <c r="Z59" s="69">
        <f>IFERROR(__xludf.DUMMYFUNCTION("""COMPUTED_VALUE"""),1.5940342904553585E-5)</f>
        <v>0.0000159403429</v>
      </c>
      <c r="AA59" s="69">
        <f>IFERROR(__xludf.DUMMYFUNCTION("""COMPUTED_VALUE"""),1.3649598612287527E-5)</f>
        <v>0.00001364959861</v>
      </c>
      <c r="AB59" s="69">
        <f>IFERROR(__xludf.DUMMYFUNCTION("""COMPUTED_VALUE"""),1.0422659558684703E-5)</f>
        <v>0.00001042265956</v>
      </c>
      <c r="AC59" s="69">
        <f>IFERROR(__xludf.DUMMYFUNCTION("""COMPUTED_VALUE"""),1.1818893517299901E-5)</f>
        <v>0.00001181889352</v>
      </c>
    </row>
    <row r="60" ht="30.0" customHeight="1">
      <c r="A60" s="64" t="str">
        <f>IFERROR(__xludf.DUMMYFUNCTION("""COMPUTED_VALUE"""),"Impact 59事件機率")</f>
        <v>Impact 59事件機率</v>
      </c>
      <c r="B60" s="67" t="str">
        <f t="shared" si="1"/>
        <v>1.326%</v>
      </c>
      <c r="C60" s="70">
        <f>IFERROR(__xludf.DUMMYFUNCTION("""COMPUTED_VALUE"""),0.016302972478196308)</f>
        <v>0.01630297248</v>
      </c>
      <c r="D60" s="70">
        <f>IFERROR(__xludf.DUMMYFUNCTION("""COMPUTED_VALUE"""),0.018019074844322275)</f>
        <v>0.01801907484</v>
      </c>
      <c r="E60" s="70">
        <f>IFERROR(__xludf.DUMMYFUNCTION("""COMPUTED_VALUE"""),0.015731024216485413)</f>
        <v>0.01573102422</v>
      </c>
      <c r="F60" s="70">
        <f>IFERROR(__xludf.DUMMYFUNCTION("""COMPUTED_VALUE"""),0.017386921502431193)</f>
        <v>0.0173869215</v>
      </c>
      <c r="G60" s="70">
        <f>IFERROR(__xludf.DUMMYFUNCTION("""COMPUTED_VALUE"""),0.011696119862214777)</f>
        <v>0.01169611986</v>
      </c>
      <c r="H60" s="70">
        <f>IFERROR(__xludf.DUMMYFUNCTION("""COMPUTED_VALUE"""),0.010699129555961891)</f>
        <v>0.01069912956</v>
      </c>
      <c r="I60" s="70">
        <f>IFERROR(__xludf.DUMMYFUNCTION("""COMPUTED_VALUE"""),0.011825353719747241)</f>
        <v>0.01182535372</v>
      </c>
      <c r="J60" s="70">
        <f>IFERROR(__xludf.DUMMYFUNCTION("""COMPUTED_VALUE"""),0.016302972478196308)</f>
        <v>0.01630297248</v>
      </c>
      <c r="K60" s="70">
        <f>IFERROR(__xludf.DUMMYFUNCTION("""COMPUTED_VALUE"""),0.017923387329294455)</f>
        <v>0.01792338733</v>
      </c>
      <c r="L60" s="70">
        <f>IFERROR(__xludf.DUMMYFUNCTION("""COMPUTED_VALUE"""),0.017923387329294455)</f>
        <v>0.01792338733</v>
      </c>
      <c r="M60" s="70">
        <f>IFERROR(__xludf.DUMMYFUNCTION("""COMPUTED_VALUE"""),0.011088128292925178)</f>
        <v>0.01108812829</v>
      </c>
      <c r="N60" s="70">
        <f>IFERROR(__xludf.DUMMYFUNCTION("""COMPUTED_VALUE"""),0.012255299692180397)</f>
        <v>0.01225529969</v>
      </c>
      <c r="O60" s="70">
        <f>IFERROR(__xludf.DUMMYFUNCTION("""COMPUTED_VALUE"""),0.010699129555961891)</f>
        <v>0.01069912956</v>
      </c>
      <c r="P60" s="70">
        <f>IFERROR(__xludf.DUMMYFUNCTION("""COMPUTED_VALUE"""),0.012715945308876925)</f>
        <v>0.01271594531</v>
      </c>
      <c r="Q60" s="70">
        <f>IFERROR(__xludf.DUMMYFUNCTION("""COMPUTED_VALUE"""),0.015186908895602598)</f>
        <v>0.0151869089</v>
      </c>
      <c r="R60" s="70">
        <f>IFERROR(__xludf.DUMMYFUNCTION("""COMPUTED_VALUE"""),0.015186908895602598)</f>
        <v>0.0151869089</v>
      </c>
      <c r="S60" s="70">
        <f>IFERROR(__xludf.DUMMYFUNCTION("""COMPUTED_VALUE"""),0.014654114881798224)</f>
        <v>0.01465411488</v>
      </c>
      <c r="T60" s="70">
        <f>IFERROR(__xludf.DUMMYFUNCTION("""COMPUTED_VALUE"""),0.009345340738204894)</f>
        <v>0.009345340738</v>
      </c>
      <c r="U60" s="70">
        <f>IFERROR(__xludf.DUMMYFUNCTION("""COMPUTED_VALUE"""),0.00916410137477148)</f>
        <v>0.009164101375</v>
      </c>
      <c r="V60" s="70">
        <f>IFERROR(__xludf.DUMMYFUNCTION("""COMPUTED_VALUE"""),0.009966692027846549)</f>
        <v>0.009966692028</v>
      </c>
      <c r="W60" s="70">
        <f>IFERROR(__xludf.DUMMYFUNCTION("""COMPUTED_VALUE"""),0.013740536619830943)</f>
        <v>0.01374053662</v>
      </c>
      <c r="X60" s="70">
        <f>IFERROR(__xludf.DUMMYFUNCTION("""COMPUTED_VALUE"""),0.015186908895602598)</f>
        <v>0.0151869089</v>
      </c>
      <c r="Y60" s="70">
        <f>IFERROR(__xludf.DUMMYFUNCTION("""COMPUTED_VALUE"""),0.013829468756101368)</f>
        <v>0.01382946876</v>
      </c>
      <c r="Z60" s="70">
        <f>IFERROR(__xludf.DUMMYFUNCTION("""COMPUTED_VALUE"""),0.009345340738204894)</f>
        <v>0.009345340738</v>
      </c>
      <c r="AA60" s="70">
        <f>IFERROR(__xludf.DUMMYFUNCTION("""COMPUTED_VALUE"""),0.010329060815910692)</f>
        <v>0.01032906082</v>
      </c>
      <c r="AB60" s="70">
        <f>IFERROR(__xludf.DUMMYFUNCTION("""COMPUTED_VALUE"""),0.009017483263289754)</f>
        <v>0.009017483263</v>
      </c>
      <c r="AC60" s="70">
        <f>IFERROR(__xludf.DUMMYFUNCTION("""COMPUTED_VALUE"""),0.009966692027846549)</f>
        <v>0.009966692028</v>
      </c>
    </row>
    <row r="61" ht="30.0" customHeight="1">
      <c r="A61" s="64" t="str">
        <f>IFERROR(__xludf.DUMMYFUNCTION("""COMPUTED_VALUE"""),"Impact 60事件機率")</f>
        <v>Impact 60事件機率</v>
      </c>
      <c r="B61" s="67" t="str">
        <f t="shared" si="1"/>
        <v>0.537%</v>
      </c>
      <c r="C61" s="69">
        <f>IFERROR(__xludf.DUMMYFUNCTION("""COMPUTED_VALUE"""),0.007260684405612916)</f>
        <v>0.007260684406</v>
      </c>
      <c r="D61" s="69">
        <f>IFERROR(__xludf.DUMMYFUNCTION("""COMPUTED_VALUE"""),0.006059721047114811)</f>
        <v>0.006059721047</v>
      </c>
      <c r="E61" s="69">
        <f>IFERROR(__xludf.DUMMYFUNCTION("""COMPUTED_VALUE"""),0.007566774379466769)</f>
        <v>0.007566774379</v>
      </c>
      <c r="F61" s="69">
        <f>IFERROR(__xludf.DUMMYFUNCTION("""COMPUTED_VALUE"""),0.0064626186613345165)</f>
        <v>0.006462618661</v>
      </c>
      <c r="G61" s="69">
        <f>IFERROR(__xludf.DUMMYFUNCTION("""COMPUTED_VALUE"""),0.004761754973679425)</f>
        <v>0.004761754974</v>
      </c>
      <c r="H61" s="69">
        <f>IFERROR(__xludf.DUMMYFUNCTION("""COMPUTED_VALUE"""),0.004764959471317084)</f>
        <v>0.004764959471</v>
      </c>
      <c r="I61" s="69">
        <f>IFERROR(__xludf.DUMMYFUNCTION("""COMPUTED_VALUE"""),0.004094587548034666)</f>
        <v>0.004094587548</v>
      </c>
      <c r="J61" s="69">
        <f>IFERROR(__xludf.DUMMYFUNCTION("""COMPUTED_VALUE"""),0.008024966974624717)</f>
        <v>0.008024966975</v>
      </c>
      <c r="K61" s="69">
        <f>IFERROR(__xludf.DUMMYFUNCTION("""COMPUTED_VALUE"""),0.006710482845186544)</f>
        <v>0.006710482845</v>
      </c>
      <c r="L61" s="69">
        <f>IFERROR(__xludf.DUMMYFUNCTION("""COMPUTED_VALUE"""),0.006710482845186544)</f>
        <v>0.006710482845</v>
      </c>
      <c r="M61" s="69">
        <f>IFERROR(__xludf.DUMMYFUNCTION("""COMPUTED_VALUE"""),0.004938203771830394)</f>
        <v>0.004938203772</v>
      </c>
      <c r="N61" s="69">
        <f>IFERROR(__xludf.DUMMYFUNCTION("""COMPUTED_VALUE"""),0.004427053946511436)</f>
        <v>0.004427053947</v>
      </c>
      <c r="O61" s="69">
        <f>IFERROR(__xludf.DUMMYFUNCTION("""COMPUTED_VALUE"""),0.005266534152508351)</f>
        <v>0.005266534153</v>
      </c>
      <c r="P61" s="69">
        <f>IFERROR(__xludf.DUMMYFUNCTION("""COMPUTED_VALUE"""),0.005197133710934802)</f>
        <v>0.005197133711</v>
      </c>
      <c r="Q61" s="69">
        <f>IFERROR(__xludf.DUMMYFUNCTION("""COMPUTED_VALUE"""),0.005107278385288219)</f>
        <v>0.005107278385</v>
      </c>
      <c r="R61" s="69">
        <f>IFERROR(__xludf.DUMMYFUNCTION("""COMPUTED_VALUE"""),0.005107278385288219)</f>
        <v>0.005107278385</v>
      </c>
      <c r="S61" s="69">
        <f>IFERROR(__xludf.DUMMYFUNCTION("""COMPUTED_VALUE"""),0.00544685016765084)</f>
        <v>0.005446850168</v>
      </c>
      <c r="T61" s="69">
        <f>IFERROR(__xludf.DUMMYFUNCTION("""COMPUTED_VALUE"""),0.00460014582561615)</f>
        <v>0.004600145826</v>
      </c>
      <c r="U61" s="69">
        <f>IFERROR(__xludf.DUMMYFUNCTION("""COMPUTED_VALUE"""),0.0039962615732356595)</f>
        <v>0.003996261573</v>
      </c>
      <c r="V61" s="69">
        <f>IFERROR(__xludf.DUMMYFUNCTION("""COMPUTED_VALUE"""),0.003351746633667133)</f>
        <v>0.003351746634</v>
      </c>
      <c r="W61" s="69">
        <f>IFERROR(__xludf.DUMMYFUNCTION("""COMPUTED_VALUE"""),0.006537322024641823)</f>
        <v>0.006537322025</v>
      </c>
      <c r="X61" s="69">
        <f>IFERROR(__xludf.DUMMYFUNCTION("""COMPUTED_VALUE"""),0.005644886636371166)</f>
        <v>0.005644886636</v>
      </c>
      <c r="Y61" s="69">
        <f>IFERROR(__xludf.DUMMYFUNCTION("""COMPUTED_VALUE"""),0.005872470696303254)</f>
        <v>0.005872470696</v>
      </c>
      <c r="Z61" s="69">
        <f>IFERROR(__xludf.DUMMYFUNCTION("""COMPUTED_VALUE"""),0.004162036699367003)</f>
        <v>0.004162036699</v>
      </c>
      <c r="AA61" s="69">
        <f>IFERROR(__xludf.DUMMYFUNCTION("""COMPUTED_VALUE"""),0.0035356143221407133)</f>
        <v>0.003535614322</v>
      </c>
      <c r="AB61" s="69">
        <f>IFERROR(__xludf.DUMMYFUNCTION("""COMPUTED_VALUE"""),0.004438761427028886)</f>
        <v>0.004438761427</v>
      </c>
      <c r="AC61" s="69">
        <f>IFERROR(__xludf.DUMMYFUNCTION("""COMPUTED_VALUE"""),0.003704562068789979)</f>
        <v>0.003704562069</v>
      </c>
    </row>
    <row r="62" ht="30.0" customHeight="1">
      <c r="A62" s="64" t="str">
        <f>IFERROR(__xludf.DUMMYFUNCTION("""COMPUTED_VALUE"""),"Impact 61事件機率")</f>
        <v>Impact 61事件機率</v>
      </c>
      <c r="B62" s="67" t="str">
        <f t="shared" si="1"/>
        <v>0.146%</v>
      </c>
      <c r="C62" s="70">
        <f>IFERROR(__xludf.DUMMYFUNCTION("""COMPUTED_VALUE"""),0.002277465195935638)</f>
        <v>0.002277465196</v>
      </c>
      <c r="D62" s="70">
        <f>IFERROR(__xludf.DUMMYFUNCTION("""COMPUTED_VALUE"""),0.002076873718192649)</f>
        <v>0.002076873718</v>
      </c>
      <c r="E62" s="70">
        <f>IFERROR(__xludf.DUMMYFUNCTION("""COMPUTED_VALUE"""),0.00184287122964747)</f>
        <v>0.00184287123</v>
      </c>
      <c r="F62" s="70">
        <f>IFERROR(__xludf.DUMMYFUNCTION("""COMPUTED_VALUE"""),0.0014773217357305745)</f>
        <v>0.001477321736</v>
      </c>
      <c r="G62" s="70">
        <f>IFERROR(__xludf.DUMMYFUNCTION("""COMPUTED_VALUE"""),0.001292340655626063)</f>
        <v>0.001292340656</v>
      </c>
      <c r="H62" s="70">
        <f>IFERROR(__xludf.DUMMYFUNCTION("""COMPUTED_VALUE"""),0.0015577397459952435)</f>
        <v>0.001557739746</v>
      </c>
      <c r="I62" s="70">
        <f>IFERROR(__xludf.DUMMYFUNCTION("""COMPUTED_VALUE"""),0.0012556376694834656)</f>
        <v>0.001255637669</v>
      </c>
      <c r="J62" s="70">
        <f>IFERROR(__xludf.DUMMYFUNCTION("""COMPUTED_VALUE"""),0.0017477984685567625)</f>
        <v>0.001747798469</v>
      </c>
      <c r="K62" s="70">
        <f>IFERROR(__xludf.DUMMYFUNCTION("""COMPUTED_VALUE"""),0.0016108896622272953)</f>
        <v>0.001610889662</v>
      </c>
      <c r="L62" s="70">
        <f>IFERROR(__xludf.DUMMYFUNCTION("""COMPUTED_VALUE"""),0.0016108896622272953)</f>
        <v>0.001610889662</v>
      </c>
      <c r="M62" s="70">
        <f>IFERROR(__xludf.DUMMYFUNCTION("""COMPUTED_VALUE"""),0.0016833779196421153)</f>
        <v>0.00168337792</v>
      </c>
      <c r="N62" s="70">
        <f>IFERROR(__xludf.DUMMYFUNCTION("""COMPUTED_VALUE"""),0.0011094431700794493)</f>
        <v>0.00110944317</v>
      </c>
      <c r="O62" s="70">
        <f>IFERROR(__xludf.DUMMYFUNCTION("""COMPUTED_VALUE"""),0.0011972671862990581)</f>
        <v>0.001197267186</v>
      </c>
      <c r="P62" s="70">
        <f>IFERROR(__xludf.DUMMYFUNCTION("""COMPUTED_VALUE"""),0.0014491820688709099)</f>
        <v>0.001449182069</v>
      </c>
      <c r="Q62" s="70">
        <f>IFERROR(__xludf.DUMMYFUNCTION("""COMPUTED_VALUE"""),0.0016602236644847547)</f>
        <v>0.001660223664</v>
      </c>
      <c r="R62" s="70">
        <f>IFERROR(__xludf.DUMMYFUNCTION("""COMPUTED_VALUE"""),0.0016602236644847547)</f>
        <v>0.001660223664</v>
      </c>
      <c r="S62" s="70">
        <f>IFERROR(__xludf.DUMMYFUNCTION("""COMPUTED_VALUE"""),0.0011794343537734773)</f>
        <v>0.001179434354</v>
      </c>
      <c r="T62" s="70">
        <f>IFERROR(__xludf.DUMMYFUNCTION("""COMPUTED_VALUE"""),0.0010888304591944085)</f>
        <v>0.001088830459</v>
      </c>
      <c r="U62" s="70">
        <f>IFERROR(__xludf.DUMMYFUNCTION("""COMPUTED_VALUE"""),0.0012204741786687012)</f>
        <v>0.001220474179</v>
      </c>
      <c r="V62" s="70">
        <f>IFERROR(__xludf.DUMMYFUNCTION("""COMPUTED_VALUE"""),0.001136386939330369)</f>
        <v>0.001136386939</v>
      </c>
      <c r="W62" s="70">
        <f>IFERROR(__xludf.DUMMYFUNCTION("""COMPUTED_VALUE"""),0.0016849328822726936)</f>
        <v>0.001684932882</v>
      </c>
      <c r="X62" s="70">
        <f>IFERROR(__xludf.DUMMYFUNCTION("""COMPUTED_VALUE"""),0.0012761674888781542)</f>
        <v>0.001276167489</v>
      </c>
      <c r="Y62" s="70">
        <f>IFERROR(__xludf.DUMMYFUNCTION("""COMPUTED_VALUE"""),0.0015451821957023482)</f>
        <v>0.001545182196</v>
      </c>
      <c r="Z62" s="70">
        <f>IFERROR(__xludf.DUMMYFUNCTION("""COMPUTED_VALUE"""),0.0013452727818408774)</f>
        <v>0.001345272782</v>
      </c>
      <c r="AA62" s="70">
        <f>IFERROR(__xludf.DUMMYFUNCTION("""COMPUTED_VALUE"""),0.001053375350101287)</f>
        <v>0.00105337535</v>
      </c>
      <c r="AB62" s="70">
        <f>IFERROR(__xludf.DUMMYFUNCTION("""COMPUTED_VALUE"""),0.0010506316160529528)</f>
        <v>0.001050631616</v>
      </c>
      <c r="AC62" s="70">
        <f>IFERROR(__xludf.DUMMYFUNCTION("""COMPUTED_VALUE"""),8.026762338267219E-4)</f>
        <v>0.0008026762338</v>
      </c>
    </row>
    <row r="63" ht="30.0" customHeight="1">
      <c r="A63" s="64" t="str">
        <f>IFERROR(__xludf.DUMMYFUNCTION("""COMPUTED_VALUE"""),"Impact 62事件機率")</f>
        <v>Impact 62事件機率</v>
      </c>
      <c r="B63" s="67" t="str">
        <f t="shared" si="1"/>
        <v>0.005%</v>
      </c>
      <c r="C63" s="69">
        <f>IFERROR(__xludf.DUMMYFUNCTION("""COMPUTED_VALUE"""),8.579442295198339E-5)</f>
        <v>0.00008579442295</v>
      </c>
      <c r="D63" s="69">
        <f>IFERROR(__xludf.DUMMYFUNCTION("""COMPUTED_VALUE"""),5.390815841811143E-5)</f>
        <v>0.00005390815842</v>
      </c>
      <c r="E63" s="69">
        <f>IFERROR(__xludf.DUMMYFUNCTION("""COMPUTED_VALUE"""),6.181638843022384E-5)</f>
        <v>0.00006181638843</v>
      </c>
      <c r="F63" s="69">
        <f>IFERROR(__xludf.DUMMYFUNCTION("""COMPUTED_VALUE"""),4.289458183427454E-5)</f>
        <v>0.00004289458183</v>
      </c>
      <c r="G63" s="69">
        <f>IFERROR(__xludf.DUMMYFUNCTION("""COMPUTED_VALUE"""),4.056362553919364E-5)</f>
        <v>0.00004056362554</v>
      </c>
      <c r="H63" s="69">
        <f>IFERROR(__xludf.DUMMYFUNCTION("""COMPUTED_VALUE"""),5.0022894073929376E-5)</f>
        <v>0.00005002289407</v>
      </c>
      <c r="I63" s="69">
        <f>IFERROR(__xludf.DUMMYFUNCTION("""COMPUTED_VALUE"""),3.416217553969237E-5)</f>
        <v>0.00003416217554</v>
      </c>
      <c r="J63" s="69">
        <f>IFERROR(__xludf.DUMMYFUNCTION("""COMPUTED_VALUE"""),6.217543632448364E-5)</f>
        <v>0.00006217543632</v>
      </c>
      <c r="K63" s="69">
        <f>IFERROR(__xludf.DUMMYFUNCTION("""COMPUTED_VALUE"""),4.038315400668623E-5)</f>
        <v>0.00004038315401</v>
      </c>
      <c r="L63" s="69">
        <f>IFERROR(__xludf.DUMMYFUNCTION("""COMPUTED_VALUE"""),4.038315400668623E-5)</f>
        <v>0.00004038315401</v>
      </c>
      <c r="M63" s="69">
        <f>IFERROR(__xludf.DUMMYFUNCTION("""COMPUTED_VALUE"""),4.495204309002494E-5)</f>
        <v>0.00004495204309</v>
      </c>
      <c r="N63" s="69">
        <f>IFERROR(__xludf.DUMMYFUNCTION("""COMPUTED_VALUE"""),3.624676770973455E-5)</f>
        <v>0.00003624676771</v>
      </c>
      <c r="O63" s="69">
        <f>IFERROR(__xludf.DUMMYFUNCTION("""COMPUTED_VALUE"""),3.5635243890348835E-5)</f>
        <v>0.00003563524389</v>
      </c>
      <c r="P63" s="69">
        <f>IFERROR(__xludf.DUMMYFUNCTION("""COMPUTED_VALUE"""),4.696926787705989E-5)</f>
        <v>0.00004696926788</v>
      </c>
      <c r="Q63" s="69">
        <f>IFERROR(__xludf.DUMMYFUNCTION("""COMPUTED_VALUE"""),5.479774686177741E-5)</f>
        <v>0.00005479774686</v>
      </c>
      <c r="R63" s="69">
        <f>IFERROR(__xludf.DUMMYFUNCTION("""COMPUTED_VALUE"""),5.479774686177741E-5)</f>
        <v>0.00005479774686</v>
      </c>
      <c r="S63" s="69">
        <f>IFERROR(__xludf.DUMMYFUNCTION("""COMPUTED_VALUE"""),4.294187431167237E-5)</f>
        <v>0.00004294187431</v>
      </c>
      <c r="T63" s="69">
        <f>IFERROR(__xludf.DUMMYFUNCTION("""COMPUTED_VALUE"""),2.6526451195454943E-5)</f>
        <v>0.0000265264512</v>
      </c>
      <c r="U63" s="69">
        <f>IFERROR(__xludf.DUMMYFUNCTION("""COMPUTED_VALUE"""),4.4382362825722696E-5)</f>
        <v>0.00004438236283</v>
      </c>
      <c r="V63" s="69">
        <f>IFERROR(__xludf.DUMMYFUNCTION("""COMPUTED_VALUE"""),3.1135067804048264E-5)</f>
        <v>0.0000311350678</v>
      </c>
      <c r="W63" s="69">
        <f>IFERROR(__xludf.DUMMYFUNCTION("""COMPUTED_VALUE"""),5.3611170593502776E-5)</f>
        <v>0.00005361117059</v>
      </c>
      <c r="X63" s="69">
        <f>IFERROR(__xludf.DUMMYFUNCTION("""COMPUTED_VALUE"""),3.8865475986371894E-5)</f>
        <v>0.00003886547599</v>
      </c>
      <c r="Y63" s="69">
        <f>IFERROR(__xludf.DUMMYFUNCTION("""COMPUTED_VALUE"""),4.586396011212853E-5)</f>
        <v>0.00004586396011</v>
      </c>
      <c r="Z63" s="69">
        <f>IFERROR(__xludf.DUMMYFUNCTION("""COMPUTED_VALUE"""),4.543128229485656E-5)</f>
        <v>0.00004543128229</v>
      </c>
      <c r="AA63" s="69">
        <f>IFERROR(__xludf.DUMMYFUNCTION("""COMPUTED_VALUE"""),3.87156758043647E-5)</f>
        <v>0.0000387156758</v>
      </c>
      <c r="AB63" s="69">
        <f>IFERROR(__xludf.DUMMYFUNCTION("""COMPUTED_VALUE"""),2.559583822466766E-5)</f>
        <v>0.00002559583822</v>
      </c>
      <c r="AC63" s="69">
        <f>IFERROR(__xludf.DUMMYFUNCTION("""COMPUTED_VALUE"""),2.887312051386528E-5)</f>
        <v>0.00002887312051</v>
      </c>
    </row>
    <row r="64" ht="30.0" customHeight="1">
      <c r="A64" s="64" t="str">
        <f>IFERROR(__xludf.DUMMYFUNCTION("""COMPUTED_VALUE"""),"Impact 63事件機率")</f>
        <v>Impact 63事件機率</v>
      </c>
      <c r="B64" s="67" t="str">
        <f t="shared" si="1"/>
        <v>0.003%</v>
      </c>
      <c r="C64" s="70">
        <f>IFERROR(__xludf.DUMMYFUNCTION("""COMPUTED_VALUE"""),5.8340409031977214E-5)</f>
        <v>0.00005834040903</v>
      </c>
      <c r="D64" s="70">
        <f>IFERROR(__xludf.DUMMYFUNCTION("""COMPUTED_VALUE"""),3.630006329066203E-5)</f>
        <v>0.00003630006329</v>
      </c>
      <c r="E64" s="70">
        <f>IFERROR(__xludf.DUMMYFUNCTION("""COMPUTED_VALUE"""),4.186487923786484E-5)</f>
        <v>0.00004186487924</v>
      </c>
      <c r="F64" s="70">
        <f>IFERROR(__xludf.DUMMYFUNCTION("""COMPUTED_VALUE"""),2.902325643537065E-5)</f>
        <v>0.00002902325644</v>
      </c>
      <c r="G64" s="70">
        <f>IFERROR(__xludf.DUMMYFUNCTION("""COMPUTED_VALUE"""),2.745887495469989E-5)</f>
        <v>0.00002745887495</v>
      </c>
      <c r="H64" s="70">
        <f>IFERROR(__xludf.DUMMYFUNCTION("""COMPUTED_VALUE"""),3.386967904098836E-5)</f>
        <v>0.00003386967904</v>
      </c>
      <c r="I64" s="70">
        <f>IFERROR(__xludf.DUMMYFUNCTION("""COMPUTED_VALUE"""),2.3102772651641178E-5)</f>
        <v>0.00002310277265</v>
      </c>
      <c r="J64" s="70">
        <f>IFERROR(__xludf.DUMMYFUNCTION("""COMPUTED_VALUE"""),4.212877897868107E-5)</f>
        <v>0.00004212877898</v>
      </c>
      <c r="K64" s="70">
        <f>IFERROR(__xludf.DUMMYFUNCTION("""COMPUTED_VALUE"""),2.745678644359241E-5)</f>
        <v>0.00002745678644</v>
      </c>
      <c r="L64" s="70">
        <f>IFERROR(__xludf.DUMMYFUNCTION("""COMPUTED_VALUE"""),2.745678644359241E-5)</f>
        <v>0.00002745678644</v>
      </c>
      <c r="M64" s="70">
        <f>IFERROR(__xludf.DUMMYFUNCTION("""COMPUTED_VALUE"""),3.0281889158374672E-5)</f>
        <v>0.00003028188916</v>
      </c>
      <c r="N64" s="70">
        <f>IFERROR(__xludf.DUMMYFUNCTION("""COMPUTED_VALUE"""),2.4646010714762E-5)</f>
        <v>0.00002464601071</v>
      </c>
      <c r="O64" s="70">
        <f>IFERROR(__xludf.DUMMYFUNCTION("""COMPUTED_VALUE"""),2.4013195428688828E-5)</f>
        <v>0.00002401319543</v>
      </c>
      <c r="P64" s="70">
        <f>IFERROR(__xludf.DUMMYFUNCTION("""COMPUTED_VALUE"""),3.2089623610237265E-5)</f>
        <v>0.00003208962361</v>
      </c>
      <c r="Q64" s="70">
        <f>IFERROR(__xludf.DUMMYFUNCTION("""COMPUTED_VALUE"""),3.69018856556774E-5)</f>
        <v>0.00003690188566</v>
      </c>
      <c r="R64" s="70">
        <f>IFERROR(__xludf.DUMMYFUNCTION("""COMPUTED_VALUE"""),3.69018856556774E-5)</f>
        <v>0.00003690188566</v>
      </c>
      <c r="S64" s="70">
        <f>IFERROR(__xludf.DUMMYFUNCTION("""COMPUTED_VALUE"""),2.892996847804255E-5)</f>
        <v>0.00002892996848</v>
      </c>
      <c r="T64" s="70">
        <f>IFERROR(__xludf.DUMMYFUNCTION("""COMPUTED_VALUE"""),1.800371293410254E-5)</f>
        <v>0.00001800371293</v>
      </c>
      <c r="U64" s="70">
        <f>IFERROR(__xludf.DUMMYFUNCTION("""COMPUTED_VALUE"""),3.0380664348622014E-5)</f>
        <v>0.00003038066435</v>
      </c>
      <c r="V64" s="70">
        <f>IFERROR(__xludf.DUMMYFUNCTION("""COMPUTED_VALUE"""),2.103196909164518E-5)</f>
        <v>0.00002103196909</v>
      </c>
      <c r="W64" s="70">
        <f>IFERROR(__xludf.DUMMYFUNCTION("""COMPUTED_VALUE"""),3.6469997462145655E-5)</f>
        <v>0.00003646999746</v>
      </c>
      <c r="X64" s="70">
        <f>IFERROR(__xludf.DUMMYFUNCTION("""COMPUTED_VALUE"""),2.6251889441994333E-5)</f>
        <v>0.00002625188944</v>
      </c>
      <c r="Y64" s="70">
        <f>IFERROR(__xludf.DUMMYFUNCTION("""COMPUTED_VALUE"""),3.135437548707508E-5)</f>
        <v>0.00003135437549</v>
      </c>
      <c r="Z64" s="70">
        <f>IFERROR(__xludf.DUMMYFUNCTION("""COMPUTED_VALUE"""),3.0666359229272957E-5)</f>
        <v>0.00003066635923</v>
      </c>
      <c r="AA64" s="70">
        <f>IFERROR(__xludf.DUMMYFUNCTION("""COMPUTED_VALUE"""),2.6073164975360307E-5)</f>
        <v>0.00002607316498</v>
      </c>
      <c r="AB64" s="70">
        <f>IFERROR(__xludf.DUMMYFUNCTION("""COMPUTED_VALUE"""),1.7372098525701028E-5)</f>
        <v>0.00001737209853</v>
      </c>
      <c r="AC64" s="70">
        <f>IFERROR(__xludf.DUMMYFUNCTION("""COMPUTED_VALUE"""),1.968458882486476E-5)</f>
        <v>0.00001968458882</v>
      </c>
    </row>
    <row r="65" ht="30.0" customHeight="1">
      <c r="A65" s="64" t="str">
        <f>IFERROR(__xludf.DUMMYFUNCTION("""COMPUTED_VALUE"""),"Impact 64事件機率")</f>
        <v>Impact 64事件機率</v>
      </c>
      <c r="B65" s="67" t="str">
        <f t="shared" si="1"/>
        <v>0.002%</v>
      </c>
      <c r="C65" s="69">
        <f>IFERROR(__xludf.DUMMYFUNCTION("""COMPUTED_VALUE"""),3.4619013640829645E-5)</f>
        <v>0.00003461901364</v>
      </c>
      <c r="D65" s="69">
        <f>IFERROR(__xludf.DUMMYFUNCTION("""COMPUTED_VALUE"""),2.1532110928836842E-5)</f>
        <v>0.00002153211093</v>
      </c>
      <c r="E65" s="69">
        <f>IFERROR(__xludf.DUMMYFUNCTION("""COMPUTED_VALUE"""),2.4933747864108688E-5)</f>
        <v>0.00002493374786</v>
      </c>
      <c r="F65" s="69">
        <f>IFERROR(__xludf.DUMMYFUNCTION("""COMPUTED_VALUE"""),1.7073675656674887E-5)</f>
        <v>0.00001707367566</v>
      </c>
      <c r="G65" s="69">
        <f>IFERROR(__xludf.DUMMYFUNCTION("""COMPUTED_VALUE"""),1.627870030362026E-5)</f>
        <v>0.0000162787003</v>
      </c>
      <c r="H65" s="69">
        <f>IFERROR(__xludf.DUMMYFUNCTION("""COMPUTED_VALUE"""),2.0098565021498433E-5)</f>
        <v>0.00002009856502</v>
      </c>
      <c r="I65" s="69">
        <f>IFERROR(__xludf.DUMMYFUNCTION("""COMPUTED_VALUE"""),1.3804346915841352E-5)</f>
        <v>0.00001380434692</v>
      </c>
      <c r="J65" s="69">
        <f>IFERROR(__xludf.DUMMYFUNCTION("""COMPUTED_VALUE"""),2.477301610737743E-5)</f>
        <v>0.00002477301611</v>
      </c>
      <c r="K65" s="69">
        <f>IFERROR(__xludf.DUMMYFUNCTION("""COMPUTED_VALUE"""),1.629229612684132E-5)</f>
        <v>0.00001629229613</v>
      </c>
      <c r="L65" s="69">
        <f>IFERROR(__xludf.DUMMYFUNCTION("""COMPUTED_VALUE"""),1.629229612684132E-5)</f>
        <v>0.00001629229613</v>
      </c>
      <c r="M65" s="69">
        <f>IFERROR(__xludf.DUMMYFUNCTION("""COMPUTED_VALUE"""),1.791200341491789E-5)</f>
        <v>0.00001791200341</v>
      </c>
      <c r="N65" s="69">
        <f>IFERROR(__xludf.DUMMYFUNCTION("""COMPUTED_VALUE"""),1.4549333887012423E-5)</f>
        <v>0.00001454933389</v>
      </c>
      <c r="O65" s="69">
        <f>IFERROR(__xludf.DUMMYFUNCTION("""COMPUTED_VALUE"""),1.4174896611666065E-5)</f>
        <v>0.00001417489661</v>
      </c>
      <c r="P65" s="69">
        <f>IFERROR(__xludf.DUMMYFUNCTION("""COMPUTED_VALUE"""),1.9060378101654732E-5)</f>
        <v>0.0000190603781</v>
      </c>
      <c r="Q65" s="69">
        <f>IFERROR(__xludf.DUMMYFUNCTION("""COMPUTED_VALUE"""),2.186681059450146E-5)</f>
        <v>0.00002186681059</v>
      </c>
      <c r="R65" s="69">
        <f>IFERROR(__xludf.DUMMYFUNCTION("""COMPUTED_VALUE"""),2.186681059450146E-5)</f>
        <v>0.00002186681059</v>
      </c>
      <c r="S65" s="69">
        <f>IFERROR(__xludf.DUMMYFUNCTION("""COMPUTED_VALUE"""),1.7066679315576896E-5)</f>
        <v>0.00001706667932</v>
      </c>
      <c r="T65" s="69">
        <f>IFERROR(__xludf.DUMMYFUNCTION("""COMPUTED_VALUE"""),1.0679123551569461E-5)</f>
        <v>0.00001067912355</v>
      </c>
      <c r="U65" s="69">
        <f>IFERROR(__xludf.DUMMYFUNCTION("""COMPUTED_VALUE"""),1.8148990048877116E-5)</f>
        <v>0.00001814899005</v>
      </c>
      <c r="V65" s="69">
        <f>IFERROR(__xludf.DUMMYFUNCTION("""COMPUTED_VALUE"""),1.239469675830822E-5)</f>
        <v>0.00001239469676</v>
      </c>
      <c r="W65" s="69">
        <f>IFERROR(__xludf.DUMMYFUNCTION("""COMPUTED_VALUE"""),2.1564780532090952E-5)</f>
        <v>0.00002156478053</v>
      </c>
      <c r="X65" s="69">
        <f>IFERROR(__xludf.DUMMYFUNCTION("""COMPUTED_VALUE"""),1.5556054584468413E-5)</f>
        <v>0.00001555605458</v>
      </c>
      <c r="Y65" s="69">
        <f>IFERROR(__xludf.DUMMYFUNCTION("""COMPUTED_VALUE"""),1.8684272834033133E-5)</f>
        <v>0.00001868427283</v>
      </c>
      <c r="Z65" s="69">
        <f>IFERROR(__xludf.DUMMYFUNCTION("""COMPUTED_VALUE"""),1.8138709918978714E-5)</f>
        <v>0.00001813870992</v>
      </c>
      <c r="AA65" s="69">
        <f>IFERROR(__xludf.DUMMYFUNCTION("""COMPUTED_VALUE"""),1.5364802144019854E-5)</f>
        <v>0.00001536480214</v>
      </c>
      <c r="AB65" s="69">
        <f>IFERROR(__xludf.DUMMYFUNCTION("""COMPUTED_VALUE"""),1.030447370412079E-5)</f>
        <v>0.0000103044737</v>
      </c>
      <c r="AC65" s="69">
        <f>IFERROR(__xludf.DUMMYFUNCTION("""COMPUTED_VALUE"""),1.1734717266067126E-5)</f>
        <v>0.00001173471727</v>
      </c>
    </row>
    <row r="66" ht="30.0" customHeight="1">
      <c r="A66" s="64" t="str">
        <f>IFERROR(__xludf.DUMMYFUNCTION("""COMPUTED_VALUE"""),"Impact 65事件機率")</f>
        <v>Impact 65事件機率</v>
      </c>
      <c r="B66" s="67" t="str">
        <f t="shared" si="1"/>
        <v>0.002%</v>
      </c>
      <c r="C66" s="70">
        <f>IFERROR(__xludf.DUMMYFUNCTION("""COMPUTED_VALUE"""),3.806848108073961E-5)</f>
        <v>0.00003806848108</v>
      </c>
      <c r="D66" s="70">
        <f>IFERROR(__xludf.DUMMYFUNCTION("""COMPUTED_VALUE"""),2.3639828317943724E-5)</f>
        <v>0.00002363982832</v>
      </c>
      <c r="E66" s="70">
        <f>IFERROR(__xludf.DUMMYFUNCTION("""COMPUTED_VALUE"""),2.734954105219628E-5)</f>
        <v>0.00002734954105</v>
      </c>
      <c r="F66" s="70">
        <f>IFERROR(__xludf.DUMMYFUNCTION("""COMPUTED_VALUE"""),1.8684590236221263E-5)</f>
        <v>0.00001868459024</v>
      </c>
      <c r="G66" s="70">
        <f>IFERROR(__xludf.DUMMYFUNCTION("""COMPUTED_VALUE"""),1.7840675341947365E-5)</f>
        <v>0.00001784067534</v>
      </c>
      <c r="H66" s="70">
        <f>IFERROR(__xludf.DUMMYFUNCTION("""COMPUTED_VALUE"""),2.1999938629527707E-5)</f>
        <v>0.00002199993863</v>
      </c>
      <c r="I66" s="70">
        <f>IFERROR(__xludf.DUMMYFUNCTION("""COMPUTED_VALUE"""),1.5124785376424044E-5)</f>
        <v>0.00001512478538</v>
      </c>
      <c r="J66" s="70">
        <f>IFERROR(__xludf.DUMMYFUNCTION("""COMPUTED_VALUE"""),2.709412371562874E-5)</f>
        <v>0.00002709412372</v>
      </c>
      <c r="K66" s="70">
        <f>IFERROR(__xludf.DUMMYFUNCTION("""COMPUTED_VALUE"""),1.792555846004015E-5)</f>
        <v>0.00001792555846</v>
      </c>
      <c r="L66" s="70">
        <f>IFERROR(__xludf.DUMMYFUNCTION("""COMPUTED_VALUE"""),1.792555846004015E-5)</f>
        <v>0.00001792555846</v>
      </c>
      <c r="M66" s="70">
        <f>IFERROR(__xludf.DUMMYFUNCTION("""COMPUTED_VALUE"""),1.9641564116922236E-5)</f>
        <v>0.00001964156412</v>
      </c>
      <c r="N66" s="70">
        <f>IFERROR(__xludf.DUMMYFUNCTION("""COMPUTED_VALUE"""),1.6008991650341547E-5)</f>
        <v>0.00001600899165</v>
      </c>
      <c r="O66" s="70">
        <f>IFERROR(__xludf.DUMMYFUNCTION("""COMPUTED_VALUE"""),1.5570842108659323E-5)</f>
        <v>0.00001557084211</v>
      </c>
      <c r="P66" s="70">
        <f>IFERROR(__xludf.DUMMYFUNCTION("""COMPUTED_VALUE"""),2.1024175864906477E-5)</f>
        <v>0.00002102417586</v>
      </c>
      <c r="Q66" s="70">
        <f>IFERROR(__xludf.DUMMYFUNCTION("""COMPUTED_VALUE"""),2.402342153278482E-5)</f>
        <v>0.00002402342153</v>
      </c>
      <c r="R66" s="70">
        <f>IFERROR(__xludf.DUMMYFUNCTION("""COMPUTED_VALUE"""),2.402342153278482E-5)</f>
        <v>0.00002402342153</v>
      </c>
      <c r="S66" s="70">
        <f>IFERROR(__xludf.DUMMYFUNCTION("""COMPUTED_VALUE"""),1.876377097443043E-5)</f>
        <v>0.00001876377097</v>
      </c>
      <c r="T66" s="70">
        <f>IFERROR(__xludf.DUMMYFUNCTION("""COMPUTED_VALUE"""),1.1726033450313207E-5)</f>
        <v>0.00001172603345</v>
      </c>
      <c r="U66" s="70">
        <f>IFERROR(__xludf.DUMMYFUNCTION("""COMPUTED_VALUE"""),1.9917528176279154E-5)</f>
        <v>0.00001991752818</v>
      </c>
      <c r="V66" s="70">
        <f>IFERROR(__xludf.DUMMYFUNCTION("""COMPUTED_VALUE"""),1.3569747819067909E-5)</f>
        <v>0.00001356974782</v>
      </c>
      <c r="W66" s="70">
        <f>IFERROR(__xludf.DUMMYFUNCTION("""COMPUTED_VALUE"""),2.36148103438898E-5)</f>
        <v>0.00002361481034</v>
      </c>
      <c r="X66" s="70">
        <f>IFERROR(__xludf.DUMMYFUNCTION("""COMPUTED_VALUE"""),1.7015207243113345E-5)</f>
        <v>0.00001701520724</v>
      </c>
      <c r="Y66" s="70">
        <f>IFERROR(__xludf.DUMMYFUNCTION("""COMPUTED_VALUE"""),2.0495474595528986E-5)</f>
        <v>0.0000204954746</v>
      </c>
      <c r="Z66" s="70">
        <f>IFERROR(__xludf.DUMMYFUNCTION("""COMPUTED_VALUE"""),1.9848620336930482E-5)</f>
        <v>0.00001984862034</v>
      </c>
      <c r="AA66" s="70">
        <f>IFERROR(__xludf.DUMMYFUNCTION("""COMPUTED_VALUE"""),1.6910738264403406E-5)</f>
        <v>0.00001691073826</v>
      </c>
      <c r="AB66" s="70">
        <f>IFERROR(__xludf.DUMMYFUNCTION("""COMPUTED_VALUE"""),1.1314655435804598E-5)</f>
        <v>0.00001131465544</v>
      </c>
      <c r="AC66" s="70">
        <f>IFERROR(__xludf.DUMMYFUNCTION("""COMPUTED_VALUE"""),1.2873954480304974E-5)</f>
        <v>0.00001287395448</v>
      </c>
    </row>
    <row r="67" ht="30.0" customHeight="1">
      <c r="A67" s="64" t="str">
        <f>IFERROR(__xludf.DUMMYFUNCTION("""COMPUTED_VALUE"""),"Impact 66事件機率")</f>
        <v>Impact 66事件機率</v>
      </c>
      <c r="B67" s="67" t="str">
        <f t="shared" si="1"/>
        <v>0.011%</v>
      </c>
      <c r="C67" s="69">
        <f>IFERROR(__xludf.DUMMYFUNCTION("""COMPUTED_VALUE"""),2.0857587415817888E-4)</f>
        <v>0.0002085758742</v>
      </c>
      <c r="D67" s="69">
        <f>IFERROR(__xludf.DUMMYFUNCTION("""COMPUTED_VALUE"""),1.3078817564269706E-4)</f>
        <v>0.0001307881756</v>
      </c>
      <c r="E67" s="69">
        <f>IFERROR(__xludf.DUMMYFUNCTION("""COMPUTED_VALUE"""),1.5031181285133545E-4)</f>
        <v>0.0001503118129</v>
      </c>
      <c r="F67" s="69">
        <f>IFERROR(__xludf.DUMMYFUNCTION("""COMPUTED_VALUE"""),1.0392721549150791E-4)</f>
        <v>0.0001039272155</v>
      </c>
      <c r="G67" s="69">
        <f>IFERROR(__xludf.DUMMYFUNCTION("""COMPUTED_VALUE"""),9.861347664375744E-5)</f>
        <v>0.00009861347664</v>
      </c>
      <c r="H67" s="69">
        <f>IFERROR(__xludf.DUMMYFUNCTION("""COMPUTED_VALUE"""),1.2155299631573749E-4)</f>
        <v>0.0001215529963</v>
      </c>
      <c r="I67" s="69">
        <f>IFERROR(__xludf.DUMMYFUNCTION("""COMPUTED_VALUE"""),8.303333478705331E-5)</f>
        <v>0.00008303333479</v>
      </c>
      <c r="J67" s="69">
        <f>IFERROR(__xludf.DUMMYFUNCTION("""COMPUTED_VALUE"""),1.5032331025013163E-4)</f>
        <v>0.0001503233103</v>
      </c>
      <c r="K67" s="69">
        <f>IFERROR(__xludf.DUMMYFUNCTION("""COMPUTED_VALUE"""),9.81326721918498E-5)</f>
        <v>0.00009813267219</v>
      </c>
      <c r="L67" s="69">
        <f>IFERROR(__xludf.DUMMYFUNCTION("""COMPUTED_VALUE"""),9.81326721918498E-5)</f>
        <v>0.00009813267219</v>
      </c>
      <c r="M67" s="69">
        <f>IFERROR(__xludf.DUMMYFUNCTION("""COMPUTED_VALUE"""),1.0891445060011649E-4)</f>
        <v>0.0001089144506</v>
      </c>
      <c r="N67" s="69">
        <f>IFERROR(__xludf.DUMMYFUNCTION("""COMPUTED_VALUE"""),8.80668335492123E-5)</f>
        <v>0.00008806683355</v>
      </c>
      <c r="O67" s="69">
        <f>IFERROR(__xludf.DUMMYFUNCTION("""COMPUTED_VALUE"""),8.652393920836012E-5)</f>
        <v>0.00008652393921</v>
      </c>
      <c r="P67" s="69">
        <f>IFERROR(__xludf.DUMMYFUNCTION("""COMPUTED_VALUE"""),1.1450703356420027E-4)</f>
        <v>0.0001145070336</v>
      </c>
      <c r="Q67" s="69">
        <f>IFERROR(__xludf.DUMMYFUNCTION("""COMPUTED_VALUE"""),1.32783397982209E-4)</f>
        <v>0.000132783398</v>
      </c>
      <c r="R67" s="69">
        <f>IFERROR(__xludf.DUMMYFUNCTION("""COMPUTED_VALUE"""),1.32783397982209E-4)</f>
        <v>0.000132783398</v>
      </c>
      <c r="S67" s="69">
        <f>IFERROR(__xludf.DUMMYFUNCTION("""COMPUTED_VALUE"""),1.0402067941066924E-4)</f>
        <v>0.0001040206794</v>
      </c>
      <c r="T67" s="69">
        <f>IFERROR(__xludf.DUMMYFUNCTION("""COMPUTED_VALUE"""),6.447744515755627E-5)</f>
        <v>0.00006447744516</v>
      </c>
      <c r="U67" s="69">
        <f>IFERROR(__xludf.DUMMYFUNCTION("""COMPUTED_VALUE"""),1.0830855430043255E-4)</f>
        <v>0.0001083085543</v>
      </c>
      <c r="V67" s="69">
        <f>IFERROR(__xludf.DUMMYFUNCTION("""COMPUTED_VALUE"""),7.544913082616689E-5)</f>
        <v>0.00007544913083</v>
      </c>
      <c r="W67" s="69">
        <f>IFERROR(__xludf.DUMMYFUNCTION("""COMPUTED_VALUE"""),1.3037104900508512E-4)</f>
        <v>0.000130371049</v>
      </c>
      <c r="X67" s="69">
        <f>IFERROR(__xludf.DUMMYFUNCTION("""COMPUTED_VALUE"""),9.434499137507463E-5)</f>
        <v>0.00009434499138</v>
      </c>
      <c r="Y67" s="69">
        <f>IFERROR(__xludf.DUMMYFUNCTION("""COMPUTED_VALUE"""),1.1163171221662094E-4)</f>
        <v>0.0001116317122</v>
      </c>
      <c r="Z67" s="69">
        <f>IFERROR(__xludf.DUMMYFUNCTION("""COMPUTED_VALUE"""),1.0997935461533349E-4)</f>
        <v>0.0001099793546</v>
      </c>
      <c r="AA67" s="69">
        <f>IFERROR(__xludf.DUMMYFUNCTION("""COMPUTED_VALUE"""),9.377549151923778E-5)</f>
        <v>0.00009377549152</v>
      </c>
      <c r="AB67" s="69">
        <f>IFERROR(__xludf.DUMMYFUNCTION("""COMPUTED_VALUE"""),6.221541823413831E-5)</f>
        <v>0.00006221541823</v>
      </c>
      <c r="AC67" s="69">
        <f>IFERROR(__xludf.DUMMYFUNCTION("""COMPUTED_VALUE"""),7.033870439580585E-5)</f>
        <v>0.0000703387044</v>
      </c>
    </row>
    <row r="68" ht="30.0" customHeight="1">
      <c r="A68" s="64" t="str">
        <f>IFERROR(__xludf.DUMMYFUNCTION("""COMPUTED_VALUE"""),"Impact 67事件機率")</f>
        <v>Impact 67事件機率</v>
      </c>
      <c r="B68" s="67" t="str">
        <f t="shared" si="1"/>
        <v>0.007%</v>
      </c>
      <c r="C68" s="70">
        <f>IFERROR(__xludf.DUMMYFUNCTION("""COMPUTED_VALUE"""),1.4181949794245239E-4)</f>
        <v>0.0001418194979</v>
      </c>
      <c r="D68" s="70">
        <f>IFERROR(__xludf.DUMMYFUNCTION("""COMPUTED_VALUE"""),8.810144384245591E-5)</f>
        <v>0.00008810144384</v>
      </c>
      <c r="E68" s="70">
        <f>IFERROR(__xludf.DUMMYFUNCTION("""COMPUTED_VALUE"""),1.0180673356576017E-4)</f>
        <v>0.0001018067336</v>
      </c>
      <c r="F68" s="70">
        <f>IFERROR(__xludf.DUMMYFUNCTION("""COMPUTED_VALUE"""),7.030369581956141E-5)</f>
        <v>0.00007030369582</v>
      </c>
      <c r="G68" s="70">
        <f>IFERROR(__xludf.DUMMYFUNCTION("""COMPUTED_VALUE"""),6.676114442415797E-5)</f>
        <v>0.00006676114442</v>
      </c>
      <c r="H68" s="70">
        <f>IFERROR(__xludf.DUMMYFUNCTION("""COMPUTED_VALUE"""),8.229906068947664E-5)</f>
        <v>0.00008229906069</v>
      </c>
      <c r="I68" s="70">
        <f>IFERROR(__xludf.DUMMYFUNCTION("""COMPUTED_VALUE"""),5.615127565100505E-5)</f>
        <v>0.00005615127565</v>
      </c>
      <c r="J68" s="70">
        <f>IFERROR(__xludf.DUMMYFUNCTION("""COMPUTED_VALUE"""),1.0186710428679829E-4)</f>
        <v>0.0001018671043</v>
      </c>
      <c r="K68" s="70">
        <f>IFERROR(__xludf.DUMMYFUNCTION("""COMPUTED_VALUE"""),6.672359295354484E-5)</f>
        <v>0.00006672359295</v>
      </c>
      <c r="L68" s="70">
        <f>IFERROR(__xludf.DUMMYFUNCTION("""COMPUTED_VALUE"""),6.672359295354484E-5)</f>
        <v>0.00006672359295</v>
      </c>
      <c r="M68" s="70">
        <f>IFERROR(__xludf.DUMMYFUNCTION("""COMPUTED_VALUE"""),7.338929431276966E-5)</f>
        <v>0.00007338929431</v>
      </c>
      <c r="N68" s="70">
        <f>IFERROR(__xludf.DUMMYFUNCTION("""COMPUTED_VALUE"""),5.9885099601500096E-5)</f>
        <v>0.0000598850996</v>
      </c>
      <c r="O68" s="70">
        <f>IFERROR(__xludf.DUMMYFUNCTION("""COMPUTED_VALUE"""),5.830088667254634E-5)</f>
        <v>0.00005830088667</v>
      </c>
      <c r="P68" s="70">
        <f>IFERROR(__xludf.DUMMYFUNCTION("""COMPUTED_VALUE"""),7.81973944010108E-5)</f>
        <v>0.0000781973944</v>
      </c>
      <c r="Q68" s="70">
        <f>IFERROR(__xludf.DUMMYFUNCTION("""COMPUTED_VALUE"""),8.943508622822714E-5)</f>
        <v>0.00008943508623</v>
      </c>
      <c r="R68" s="70">
        <f>IFERROR(__xludf.DUMMYFUNCTION("""COMPUTED_VALUE"""),8.943508622822714E-5)</f>
        <v>0.00008943508623</v>
      </c>
      <c r="S68" s="70">
        <f>IFERROR(__xludf.DUMMYFUNCTION("""COMPUTED_VALUE"""),7.005111154841693E-5)</f>
        <v>0.00007005111155</v>
      </c>
      <c r="T68" s="70">
        <f>IFERROR(__xludf.DUMMYFUNCTION("""COMPUTED_VALUE"""),4.3753159109707986E-5)</f>
        <v>0.00004375315911</v>
      </c>
      <c r="U68" s="70">
        <f>IFERROR(__xludf.DUMMYFUNCTION("""COMPUTED_VALUE"""),7.410515871444237E-5)</f>
        <v>0.00007410515871</v>
      </c>
      <c r="V68" s="70">
        <f>IFERROR(__xludf.DUMMYFUNCTION("""COMPUTED_VALUE"""),5.098056216284495E-5)</f>
        <v>0.00005098056216</v>
      </c>
      <c r="W68" s="70">
        <f>IFERROR(__xludf.DUMMYFUNCTION("""COMPUTED_VALUE"""),8.868384454777438E-5)</f>
        <v>0.00008868384455</v>
      </c>
      <c r="X68" s="70">
        <f>IFERROR(__xludf.DUMMYFUNCTION("""COMPUTED_VALUE"""),6.371930112840428E-5)</f>
        <v>0.00006371930113</v>
      </c>
      <c r="Y68" s="70">
        <f>IFERROR(__xludf.DUMMYFUNCTION("""COMPUTED_VALUE"""),7.629749672883201E-5)</f>
        <v>0.00007629749673</v>
      </c>
      <c r="Z68" s="70">
        <f>IFERROR(__xludf.DUMMYFUNCTION("""COMPUTED_VALUE"""),7.423996132335851E-5)</f>
        <v>0.00007423996132</v>
      </c>
      <c r="AA68" s="70">
        <f>IFERROR(__xludf.DUMMYFUNCTION("""COMPUTED_VALUE"""),6.311373170215696E-5)</f>
        <v>0.0000631137317</v>
      </c>
      <c r="AB68" s="70">
        <f>IFERROR(__xludf.DUMMYFUNCTION("""COMPUTED_VALUE"""),4.221819097241729E-5)</f>
        <v>0.00004221819097</v>
      </c>
      <c r="AC68" s="70">
        <f>IFERROR(__xludf.DUMMYFUNCTION("""COMPUTED_VALUE"""),4.794280859948695E-5)</f>
        <v>0.0000479428086</v>
      </c>
    </row>
    <row r="69" ht="30.0" customHeight="1">
      <c r="A69" s="64" t="str">
        <f>IFERROR(__xludf.DUMMYFUNCTION("""COMPUTED_VALUE"""),"Impact 68事件機率")</f>
        <v>Impact 68事件機率</v>
      </c>
      <c r="B69" s="67" t="str">
        <f t="shared" si="1"/>
        <v>0.007%</v>
      </c>
      <c r="C69" s="69">
        <f>IFERROR(__xludf.DUMMYFUNCTION("""COMPUTED_VALUE"""),1.2845034970563083E-4)</f>
        <v>0.0001284503497</v>
      </c>
      <c r="D69" s="69">
        <f>IFERROR(__xludf.DUMMYFUNCTION("""COMPUTED_VALUE"""),8.01404810831318E-5)</f>
        <v>0.00008014048108</v>
      </c>
      <c r="E69" s="69">
        <f>IFERROR(__xludf.DUMMYFUNCTION("""COMPUTED_VALUE"""),9.223449885487161E-5)</f>
        <v>0.00009223449885</v>
      </c>
      <c r="F69" s="69">
        <f>IFERROR(__xludf.DUMMYFUNCTION("""COMPUTED_VALUE"""),6.366559583088225E-5)</f>
        <v>0.00006366559583</v>
      </c>
      <c r="G69" s="69">
        <f>IFERROR(__xludf.DUMMYFUNCTION("""COMPUTED_VALUE"""),6.048592488429505E-5)</f>
        <v>0.00006048592488</v>
      </c>
      <c r="H69" s="69">
        <f>IFERROR(__xludf.DUMMYFUNCTION("""COMPUTED_VALUE"""),7.462940550395602E-5)</f>
        <v>0.0000746294055</v>
      </c>
      <c r="I69" s="69">
        <f>IFERROR(__xludf.DUMMYFUNCTION("""COMPUTED_VALUE"""),5.1064971035691326E-5)</f>
        <v>0.00005106497104</v>
      </c>
      <c r="J69" s="69">
        <f>IFERROR(__xludf.DUMMYFUNCTION("""COMPUTED_VALUE"""),9.26128145823286E-5)</f>
        <v>0.00009261281458</v>
      </c>
      <c r="K69" s="69">
        <f>IFERROR(__xludf.DUMMYFUNCTION("""COMPUTED_VALUE"""),6.057119433568143E-5)</f>
        <v>0.00006057119434</v>
      </c>
      <c r="L69" s="69">
        <f>IFERROR(__xludf.DUMMYFUNCTION("""COMPUTED_VALUE"""),6.057119433568143E-5)</f>
        <v>0.00006057119434</v>
      </c>
      <c r="M69" s="69">
        <f>IFERROR(__xludf.DUMMYFUNCTION("""COMPUTED_VALUE"""),6.66315277801197E-5)</f>
        <v>0.00006663152778</v>
      </c>
      <c r="N69" s="69">
        <f>IFERROR(__xludf.DUMMYFUNCTION("""COMPUTED_VALUE"""),5.3953481956693755E-5)</f>
        <v>0.00005395348196</v>
      </c>
      <c r="O69" s="69">
        <f>IFERROR(__xludf.DUMMYFUNCTION("""COMPUTED_VALUE"""),5.280453875114306E-5)</f>
        <v>0.00005280453875</v>
      </c>
      <c r="P69" s="69">
        <f>IFERROR(__xludf.DUMMYFUNCTION("""COMPUTED_VALUE"""),7.046000510025786E-5)</f>
        <v>0.0000704600051</v>
      </c>
      <c r="Q69" s="69">
        <f>IFERROR(__xludf.DUMMYFUNCTION("""COMPUTED_VALUE"""),8.131948467871891E-5)</f>
        <v>0.00008131948468</v>
      </c>
      <c r="R69" s="69">
        <f>IFERROR(__xludf.DUMMYFUNCTION("""COMPUTED_VALUE"""),8.131948467871891E-5)</f>
        <v>0.00008131948468</v>
      </c>
      <c r="S69" s="69">
        <f>IFERROR(__xludf.DUMMYFUNCTION("""COMPUTED_VALUE"""),6.378720692132101E-5)</f>
        <v>0.00006378720692</v>
      </c>
      <c r="T69" s="69">
        <f>IFERROR(__xludf.DUMMYFUNCTION("""COMPUTED_VALUE"""),3.9634126700450506E-5)</f>
        <v>0.0000396341267</v>
      </c>
      <c r="U69" s="69">
        <f>IFERROR(__xludf.DUMMYFUNCTION("""COMPUTED_VALUE"""),6.676626170133702E-5)</f>
        <v>0.0000667662617</v>
      </c>
      <c r="V69" s="69">
        <f>IFERROR(__xludf.DUMMYFUNCTION("""COMPUTED_VALUE"""),4.61948574033937E-5)</f>
        <v>0.0000461948574</v>
      </c>
      <c r="W69" s="69">
        <f>IFERROR(__xludf.DUMMYFUNCTION("""COMPUTED_VALUE"""),8.008077501110867E-5)</f>
        <v>0.00008008077501</v>
      </c>
      <c r="X69" s="69">
        <f>IFERROR(__xludf.DUMMYFUNCTION("""COMPUTED_VALUE"""),5.786708236018858E-5)</f>
        <v>0.00005786708236</v>
      </c>
      <c r="Y69" s="69">
        <f>IFERROR(__xludf.DUMMYFUNCTION("""COMPUTED_VALUE"""),6.896605083608292E-5)</f>
        <v>0.00006896605084</v>
      </c>
      <c r="Z69" s="69">
        <f>IFERROR(__xludf.DUMMYFUNCTION("""COMPUTED_VALUE"""),6.766033026459434E-5)</f>
        <v>0.00006766033026</v>
      </c>
      <c r="AA69" s="69">
        <f>IFERROR(__xludf.DUMMYFUNCTION("""COMPUTED_VALUE"""),5.742886251587917E-5)</f>
        <v>0.00005742886252</v>
      </c>
      <c r="AB69" s="69">
        <f>IFERROR(__xludf.DUMMYFUNCTION("""COMPUTED_VALUE"""),3.824366432304839E-5)</f>
        <v>0.00003824366432</v>
      </c>
      <c r="AC69" s="69">
        <f>IFERROR(__xludf.DUMMYFUNCTION("""COMPUTED_VALUE"""),4.328181390908847E-5)</f>
        <v>0.00004328181391</v>
      </c>
    </row>
    <row r="70" ht="30.0" customHeight="1">
      <c r="A70" s="64" t="str">
        <f>IFERROR(__xludf.DUMMYFUNCTION("""COMPUTED_VALUE"""),"Impact 69事件機率")</f>
        <v>Impact 69事件機率</v>
      </c>
      <c r="B70" s="67" t="str">
        <f t="shared" si="1"/>
        <v>0.007%</v>
      </c>
      <c r="C70" s="70">
        <f>IFERROR(__xludf.DUMMYFUNCTION("""COMPUTED_VALUE"""),1.4125133101872876E-4)</f>
        <v>0.000141251331</v>
      </c>
      <c r="D70" s="70">
        <f>IFERROR(__xludf.DUMMYFUNCTION("""COMPUTED_VALUE"""),8.796158812179614E-5)</f>
        <v>0.00008796158812</v>
      </c>
      <c r="E70" s="70">
        <f>IFERROR(__xludf.DUMMYFUNCTION("""COMPUTED_VALUE"""),1.0112290276343653E-4)</f>
        <v>0.0001011229028</v>
      </c>
      <c r="F70" s="70">
        <f>IFERROR(__xludf.DUMMYFUNCTION("""COMPUTED_VALUE"""),6.967581941865844E-5)</f>
        <v>0.00006967581942</v>
      </c>
      <c r="G70" s="70">
        <f>IFERROR(__xludf.DUMMYFUNCTION("""COMPUTED_VALUE"""),6.629816773682743E-5)</f>
        <v>0.00006629816774</v>
      </c>
      <c r="H70" s="70">
        <f>IFERROR(__xludf.DUMMYFUNCTION("""COMPUTED_VALUE"""),8.166064063720016E-5)</f>
        <v>0.00008166064064</v>
      </c>
      <c r="I70" s="70">
        <f>IFERROR(__xludf.DUMMYFUNCTION("""COMPUTED_VALUE"""),5.593935396372891E-5)</f>
        <v>0.00005593935396</v>
      </c>
      <c r="J70" s="70">
        <f>IFERROR(__xludf.DUMMYFUNCTION("""COMPUTED_VALUE"""),1.0132895365209442E-4)</f>
        <v>0.0001013289537</v>
      </c>
      <c r="K70" s="70">
        <f>IFERROR(__xludf.DUMMYFUNCTION("""COMPUTED_VALUE"""),6.66552219190269E-5)</f>
        <v>0.00006665522192</v>
      </c>
      <c r="L70" s="70">
        <f>IFERROR(__xludf.DUMMYFUNCTION("""COMPUTED_VALUE"""),6.66552219190269E-5)</f>
        <v>0.00006665522192</v>
      </c>
      <c r="M70" s="70">
        <f>IFERROR(__xludf.DUMMYFUNCTION("""COMPUTED_VALUE"""),7.308332447791942E-5)</f>
        <v>0.00007308332448</v>
      </c>
      <c r="N70" s="70">
        <f>IFERROR(__xludf.DUMMYFUNCTION("""COMPUTED_VALUE"""),5.936275350824768E-5)</f>
        <v>0.00005936275351</v>
      </c>
      <c r="O70" s="70">
        <f>IFERROR(__xludf.DUMMYFUNCTION("""COMPUTED_VALUE"""),5.800751574581347E-5)</f>
        <v>0.00005800751575</v>
      </c>
      <c r="P70" s="70">
        <f>IFERROR(__xludf.DUMMYFUNCTION("""COMPUTED_VALUE"""),7.774828178581998E-5)</f>
        <v>0.00007774828179</v>
      </c>
      <c r="Q70" s="70">
        <f>IFERROR(__xludf.DUMMYFUNCTION("""COMPUTED_VALUE"""),8.935507138646297E-5)</f>
        <v>0.00008935507139</v>
      </c>
      <c r="R70" s="70">
        <f>IFERROR(__xludf.DUMMYFUNCTION("""COMPUTED_VALUE"""),8.935507138646297E-5)</f>
        <v>0.00008935507139</v>
      </c>
      <c r="S70" s="70">
        <f>IFERROR(__xludf.DUMMYFUNCTION("""COMPUTED_VALUE"""),7.010792993880891E-5)</f>
        <v>0.00007010792994</v>
      </c>
      <c r="T70" s="70">
        <f>IFERROR(__xludf.DUMMYFUNCTION("""COMPUTED_VALUE"""),4.351670675068742E-5)</f>
        <v>0.00004351670675</v>
      </c>
      <c r="U70" s="70">
        <f>IFERROR(__xludf.DUMMYFUNCTION("""COMPUTED_VALUE"""),7.325842902820697E-5)</f>
        <v>0.00007325842903</v>
      </c>
      <c r="V70" s="70">
        <f>IFERROR(__xludf.DUMMYFUNCTION("""COMPUTED_VALUE"""),5.054904702407283E-5)</f>
        <v>0.00005054904702</v>
      </c>
      <c r="W70" s="70">
        <f>IFERROR(__xludf.DUMMYFUNCTION("""COMPUTED_VALUE"""),8.77058960548993E-5)</f>
        <v>0.00008770589605</v>
      </c>
      <c r="X70" s="70">
        <f>IFERROR(__xludf.DUMMYFUNCTION("""COMPUTED_VALUE"""),6.331082732436936E-5)</f>
        <v>0.00006331082732</v>
      </c>
      <c r="Y70" s="70">
        <f>IFERROR(__xludf.DUMMYFUNCTION("""COMPUTED_VALUE"""),7.565363320417178E-5)</f>
        <v>0.0000756536332</v>
      </c>
      <c r="Z70" s="70">
        <f>IFERROR(__xludf.DUMMYFUNCTION("""COMPUTED_VALUE"""),7.401894446920691E-5)</f>
        <v>0.00007401894447</v>
      </c>
      <c r="AA70" s="70">
        <f>IFERROR(__xludf.DUMMYFUNCTION("""COMPUTED_VALUE"""),6.320082678716551E-5)</f>
        <v>0.00006320082679</v>
      </c>
      <c r="AB70" s="70">
        <f>IFERROR(__xludf.DUMMYFUNCTION("""COMPUTED_VALUE"""),4.199003394211083E-5)</f>
        <v>0.00004199003394</v>
      </c>
      <c r="AC70" s="70">
        <f>IFERROR(__xludf.DUMMYFUNCTION("""COMPUTED_VALUE"""),4.747064128086713E-5)</f>
        <v>0.00004747064128</v>
      </c>
    </row>
    <row r="71" ht="30.0" customHeight="1">
      <c r="A71" s="64" t="str">
        <f>IFERROR(__xludf.DUMMYFUNCTION("""COMPUTED_VALUE"""),"Impact 70事件機率")</f>
        <v>Impact 70事件機率</v>
      </c>
      <c r="B71" s="67" t="str">
        <f t="shared" si="1"/>
        <v>5.652%</v>
      </c>
      <c r="C71" s="69">
        <f>IFERROR(__xludf.DUMMYFUNCTION("""COMPUTED_VALUE"""),0.06114932442898162)</f>
        <v>0.06114932443</v>
      </c>
      <c r="D71" s="69">
        <f>IFERROR(__xludf.DUMMYFUNCTION("""COMPUTED_VALUE"""),0.06118560893362097)</f>
        <v>0.06118560893</v>
      </c>
      <c r="E71" s="69">
        <f>IFERROR(__xludf.DUMMYFUNCTION("""COMPUTED_VALUE"""),0.06114932442898162)</f>
        <v>0.06114932443</v>
      </c>
      <c r="F71" s="69">
        <f>IFERROR(__xludf.DUMMYFUNCTION("""COMPUTED_VALUE"""),0.06118560893362097)</f>
        <v>0.06118560893</v>
      </c>
      <c r="G71" s="69">
        <f>IFERROR(__xludf.DUMMYFUNCTION("""COMPUTED_VALUE"""),0.06114932442898162)</f>
        <v>0.06114932443</v>
      </c>
      <c r="H71" s="69">
        <f>IFERROR(__xludf.DUMMYFUNCTION("""COMPUTED_VALUE"""),0.06118560893362097)</f>
        <v>0.06118560893</v>
      </c>
      <c r="I71" s="69">
        <f>IFERROR(__xludf.DUMMYFUNCTION("""COMPUTED_VALUE"""),0.06114932442898162)</f>
        <v>0.06114932443</v>
      </c>
      <c r="J71" s="69">
        <f>IFERROR(__xludf.DUMMYFUNCTION("""COMPUTED_VALUE"""),0.06118560893362097)</f>
        <v>0.06118560893</v>
      </c>
      <c r="K71" s="69">
        <f>IFERROR(__xludf.DUMMYFUNCTION("""COMPUTED_VALUE"""),0.06114932442898162)</f>
        <v>0.06114932443</v>
      </c>
      <c r="L71" s="69">
        <f>IFERROR(__xludf.DUMMYFUNCTION("""COMPUTED_VALUE"""),0.06114932442898162)</f>
        <v>0.06114932443</v>
      </c>
      <c r="M71" s="69">
        <f>IFERROR(__xludf.DUMMYFUNCTION("""COMPUTED_VALUE"""),0.06114932442898162)</f>
        <v>0.06114932443</v>
      </c>
      <c r="N71" s="69">
        <f>IFERROR(__xludf.DUMMYFUNCTION("""COMPUTED_VALUE"""),0.06118560893362097)</f>
        <v>0.06118560893</v>
      </c>
      <c r="O71" s="69">
        <f>IFERROR(__xludf.DUMMYFUNCTION("""COMPUTED_VALUE"""),0.06114932442898162)</f>
        <v>0.06114932443</v>
      </c>
      <c r="P71" s="69">
        <f>IFERROR(__xludf.DUMMYFUNCTION("""COMPUTED_VALUE"""),0.056715100461797514)</f>
        <v>0.05671510046</v>
      </c>
      <c r="Q71" s="69">
        <f>IFERROR(__xludf.DUMMYFUNCTION("""COMPUTED_VALUE"""),0.05153811875215196)</f>
        <v>0.05153811875</v>
      </c>
      <c r="R71" s="69">
        <f>IFERROR(__xludf.DUMMYFUNCTION("""COMPUTED_VALUE"""),0.05153811875215196)</f>
        <v>0.05153811875</v>
      </c>
      <c r="S71" s="69">
        <f>IFERROR(__xludf.DUMMYFUNCTION("""COMPUTED_VALUE"""),0.05153811875215196)</f>
        <v>0.05153811875</v>
      </c>
      <c r="T71" s="69">
        <f>IFERROR(__xludf.DUMMYFUNCTION("""COMPUTED_VALUE"""),0.05156870020381029)</f>
        <v>0.0515687002</v>
      </c>
      <c r="U71" s="69">
        <f>IFERROR(__xludf.DUMMYFUNCTION("""COMPUTED_VALUE"""),0.05153811875215196)</f>
        <v>0.05153811875</v>
      </c>
      <c r="V71" s="69">
        <f>IFERROR(__xludf.DUMMYFUNCTION("""COMPUTED_VALUE"""),0.05156870020381029)</f>
        <v>0.0515687002</v>
      </c>
      <c r="W71" s="69">
        <f>IFERROR(__xludf.DUMMYFUNCTION("""COMPUTED_VALUE"""),0.05153811875215196)</f>
        <v>0.05153811875</v>
      </c>
      <c r="X71" s="69">
        <f>IFERROR(__xludf.DUMMYFUNCTION("""COMPUTED_VALUE"""),0.05156870020381029)</f>
        <v>0.0515687002</v>
      </c>
      <c r="Y71" s="69">
        <f>IFERROR(__xludf.DUMMYFUNCTION("""COMPUTED_VALUE"""),0.05153811875215196)</f>
        <v>0.05153811875</v>
      </c>
      <c r="Z71" s="69">
        <f>IFERROR(__xludf.DUMMYFUNCTION("""COMPUTED_VALUE"""),0.05156870020381029)</f>
        <v>0.0515687002</v>
      </c>
      <c r="AA71" s="69">
        <f>IFERROR(__xludf.DUMMYFUNCTION("""COMPUTED_VALUE"""),0.05153811875215196)</f>
        <v>0.05153811875</v>
      </c>
      <c r="AB71" s="69">
        <f>IFERROR(__xludf.DUMMYFUNCTION("""COMPUTED_VALUE"""),0.05156870020381029)</f>
        <v>0.0515687002</v>
      </c>
      <c r="AC71" s="69">
        <f>IFERROR(__xludf.DUMMYFUNCTION("""COMPUTED_VALUE"""),0.05153811875215196)</f>
        <v>0.05153811875</v>
      </c>
    </row>
    <row r="72" ht="30.0" customHeight="1">
      <c r="A72" s="64" t="str">
        <f>IFERROR(__xludf.DUMMYFUNCTION("""COMPUTED_VALUE"""),"Impact 71事件機率")</f>
        <v>Impact 71事件機率</v>
      </c>
      <c r="B72" s="67" t="str">
        <f t="shared" si="1"/>
        <v>2.419%</v>
      </c>
      <c r="C72" s="70">
        <f>IFERROR(__xludf.DUMMYFUNCTION("""COMPUTED_VALUE"""),0.024822277612776566)</f>
        <v>0.02482227761</v>
      </c>
      <c r="D72" s="70">
        <f>IFERROR(__xludf.DUMMYFUNCTION("""COMPUTED_VALUE"""),0.027429989279338218)</f>
        <v>0.02742998928</v>
      </c>
      <c r="E72" s="70">
        <f>IFERROR(__xludf.DUMMYFUNCTION("""COMPUTED_VALUE"""),0.024822277612776566)</f>
        <v>0.02482227761</v>
      </c>
      <c r="F72" s="70">
        <f>IFERROR(__xludf.DUMMYFUNCTION("""COMPUTED_VALUE"""),0.027429989279338218)</f>
        <v>0.02742998928</v>
      </c>
      <c r="G72" s="70">
        <f>IFERROR(__xludf.DUMMYFUNCTION("""COMPUTED_VALUE"""),0.026183533069572856)</f>
        <v>0.02618353307</v>
      </c>
      <c r="H72" s="70">
        <f>IFERROR(__xludf.DUMMYFUNCTION("""COMPUTED_VALUE"""),0.024817609347972718)</f>
        <v>0.02481760935</v>
      </c>
      <c r="I72" s="70">
        <f>IFERROR(__xludf.DUMMYFUNCTION("""COMPUTED_VALUE"""),0.027435148940437203)</f>
        <v>0.02743514894</v>
      </c>
      <c r="J72" s="70">
        <f>IFERROR(__xludf.DUMMYFUNCTION("""COMPUTED_VALUE"""),0.024817609347972718)</f>
        <v>0.02481760935</v>
      </c>
      <c r="K72" s="70">
        <f>IFERROR(__xludf.DUMMYFUNCTION("""COMPUTED_VALUE"""),0.027325509354505225)</f>
        <v>0.02732550935</v>
      </c>
      <c r="L72" s="70">
        <f>IFERROR(__xludf.DUMMYFUNCTION("""COMPUTED_VALUE"""),0.027325509354505225)</f>
        <v>0.02732550935</v>
      </c>
      <c r="M72" s="70">
        <f>IFERROR(__xludf.DUMMYFUNCTION("""COMPUTED_VALUE"""),0.024822277612776566)</f>
        <v>0.02482227761</v>
      </c>
      <c r="N72" s="70">
        <f>IFERROR(__xludf.DUMMYFUNCTION("""COMPUTED_VALUE"""),0.027429989279338218)</f>
        <v>0.02742998928</v>
      </c>
      <c r="O72" s="70">
        <f>IFERROR(__xludf.DUMMYFUNCTION("""COMPUTED_VALUE"""),0.024822277612776566)</f>
        <v>0.02482227761</v>
      </c>
      <c r="P72" s="70">
        <f>IFERROR(__xludf.DUMMYFUNCTION("""COMPUTED_VALUE"""),0.02440061770723536)</f>
        <v>0.02440061771</v>
      </c>
      <c r="Q72" s="70">
        <f>IFERROR(__xludf.DUMMYFUNCTION("""COMPUTED_VALUE"""),0.023123002212680033)</f>
        <v>0.02312300221</v>
      </c>
      <c r="R72" s="70">
        <f>IFERROR(__xludf.DUMMYFUNCTION("""COMPUTED_VALUE"""),0.023123002212680033)</f>
        <v>0.02312300221</v>
      </c>
      <c r="S72" s="70">
        <f>IFERROR(__xludf.DUMMYFUNCTION("""COMPUTED_VALUE"""),0.023123002212680033)</f>
        <v>0.02312300221</v>
      </c>
      <c r="T72" s="70">
        <f>IFERROR(__xludf.DUMMYFUNCTION("""COMPUTED_VALUE"""),0.020916877000101832)</f>
        <v>0.020916877</v>
      </c>
      <c r="U72" s="70">
        <f>IFERROR(__xludf.DUMMYFUNCTION("""COMPUTED_VALUE"""),0.021166952970442496)</f>
        <v>0.02116695297</v>
      </c>
      <c r="V72" s="70">
        <f>IFERROR(__xludf.DUMMYFUNCTION("""COMPUTED_VALUE"""),0.02311865352642841)</f>
        <v>0.02311865353</v>
      </c>
      <c r="W72" s="70">
        <f>IFERROR(__xludf.DUMMYFUNCTION("""COMPUTED_VALUE"""),0.020920811525758067)</f>
        <v>0.02092081153</v>
      </c>
      <c r="X72" s="70">
        <f>IFERROR(__xludf.DUMMYFUNCTION("""COMPUTED_VALUE"""),0.02311865352642841)</f>
        <v>0.02311865353</v>
      </c>
      <c r="Y72" s="70">
        <f>IFERROR(__xludf.DUMMYFUNCTION("""COMPUTED_VALUE"""),0.021821968862205172)</f>
        <v>0.02182196886</v>
      </c>
      <c r="Z72" s="70">
        <f>IFERROR(__xludf.DUMMYFUNCTION("""COMPUTED_VALUE"""),0.020916877000101832)</f>
        <v>0.020916877</v>
      </c>
      <c r="AA72" s="70">
        <f>IFERROR(__xludf.DUMMYFUNCTION("""COMPUTED_VALUE"""),0.023123002212680033)</f>
        <v>0.02312300221</v>
      </c>
      <c r="AB72" s="70">
        <f>IFERROR(__xludf.DUMMYFUNCTION("""COMPUTED_VALUE"""),0.020916877000101832)</f>
        <v>0.020916877</v>
      </c>
      <c r="AC72" s="70">
        <f>IFERROR(__xludf.DUMMYFUNCTION("""COMPUTED_VALUE"""),0.023123002212680033)</f>
        <v>0.02312300221</v>
      </c>
    </row>
    <row r="73" ht="30.0" customHeight="1">
      <c r="A73" s="64" t="str">
        <f>IFERROR(__xludf.DUMMYFUNCTION("""COMPUTED_VALUE"""),"Impact 72事件機率")</f>
        <v>Impact 72事件機率</v>
      </c>
      <c r="B73" s="67" t="str">
        <f t="shared" si="1"/>
        <v>0.984%</v>
      </c>
      <c r="C73" s="69">
        <f>IFERROR(__xludf.DUMMYFUNCTION("""COMPUTED_VALUE"""),0.011054838264366595)</f>
        <v>0.01105483826</v>
      </c>
      <c r="D73" s="69">
        <f>IFERROR(__xludf.DUMMYFUNCTION("""COMPUTED_VALUE"""),0.009224562570176256)</f>
        <v>0.00922456257</v>
      </c>
      <c r="E73" s="69">
        <f>IFERROR(__xludf.DUMMYFUNCTION("""COMPUTED_VALUE"""),0.0119397959126858)</f>
        <v>0.01193979591</v>
      </c>
      <c r="F73" s="69">
        <f>IFERROR(__xludf.DUMMYFUNCTION("""COMPUTED_VALUE"""),0.010195569156510627)</f>
        <v>0.01019556916</v>
      </c>
      <c r="G73" s="69">
        <f>IFERROR(__xludf.DUMMYFUNCTION("""COMPUTED_VALUE"""),0.010659623068959175)</f>
        <v>0.01065962307</v>
      </c>
      <c r="H73" s="69">
        <f>IFERROR(__xludf.DUMMYFUNCTION("""COMPUTED_VALUE"""),0.011052759208077448)</f>
        <v>0.01105275921</v>
      </c>
      <c r="I73" s="69">
        <f>IFERROR(__xludf.DUMMYFUNCTION("""COMPUTED_VALUE"""),0.0094996593485547)</f>
        <v>0.009499659349</v>
      </c>
      <c r="J73" s="69">
        <f>IFERROR(__xludf.DUMMYFUNCTION("""COMPUTED_VALUE"""),0.012216207545769783)</f>
        <v>0.01221620755</v>
      </c>
      <c r="K73" s="69">
        <f>IFERROR(__xludf.DUMMYFUNCTION("""COMPUTED_VALUE"""),0.01023346258312925)</f>
        <v>0.01023346258</v>
      </c>
      <c r="L73" s="69">
        <f>IFERROR(__xludf.DUMMYFUNCTION("""COMPUTED_VALUE"""),0.01023346258312925)</f>
        <v>0.01023346258</v>
      </c>
      <c r="M73" s="69">
        <f>IFERROR(__xludf.DUMMYFUNCTION("""COMPUTED_VALUE"""),0.011054838264366595)</f>
        <v>0.01105483826</v>
      </c>
      <c r="N73" s="69">
        <f>IFERROR(__xludf.DUMMYFUNCTION("""COMPUTED_VALUE"""),0.009908805286626455)</f>
        <v>0.009908805287</v>
      </c>
      <c r="O73" s="69">
        <f>IFERROR(__xludf.DUMMYFUNCTION("""COMPUTED_VALUE"""),0.012218505450089366)</f>
        <v>0.01221850545</v>
      </c>
      <c r="P73" s="69">
        <f>IFERROR(__xludf.DUMMYFUNCTION("""COMPUTED_VALUE"""),0.009786246701809062)</f>
        <v>0.009786246702</v>
      </c>
      <c r="Q73" s="69">
        <f>IFERROR(__xludf.DUMMYFUNCTION("""COMPUTED_VALUE"""),0.0077761452455928776)</f>
        <v>0.007776145246</v>
      </c>
      <c r="R73" s="69">
        <f>IFERROR(__xludf.DUMMYFUNCTION("""COMPUTED_VALUE"""),0.0077761452455928776)</f>
        <v>0.007776145246</v>
      </c>
      <c r="S73" s="69">
        <f>IFERROR(__xludf.DUMMYFUNCTION("""COMPUTED_VALUE"""),0.008594686850392165)</f>
        <v>0.00859468685</v>
      </c>
      <c r="T73" s="69">
        <f>IFERROR(__xludf.DUMMYFUNCTION("""COMPUTED_VALUE"""),0.010296113016359354)</f>
        <v>0.01029611302</v>
      </c>
      <c r="U73" s="69">
        <f>IFERROR(__xludf.DUMMYFUNCTION("""COMPUTED_VALUE"""),0.00923651766936662)</f>
        <v>0.009236517669</v>
      </c>
      <c r="V73" s="69">
        <f>IFERROR(__xludf.DUMMYFUNCTION("""COMPUTED_VALUE"""),0.007774682805049512)</f>
        <v>0.007774682805</v>
      </c>
      <c r="W73" s="69">
        <f>IFERROR(__xludf.DUMMYFUNCTION("""COMPUTED_VALUE"""),0.009953525213858757)</f>
        <v>0.009953525214</v>
      </c>
      <c r="X73" s="69">
        <f>IFERROR(__xludf.DUMMYFUNCTION("""COMPUTED_VALUE"""),0.00859307046873897)</f>
        <v>0.008593070469</v>
      </c>
      <c r="Y73" s="69">
        <f>IFERROR(__xludf.DUMMYFUNCTION("""COMPUTED_VALUE"""),0.009266062481327147)</f>
        <v>0.009266062481</v>
      </c>
      <c r="Z73" s="69">
        <f>IFERROR(__xludf.DUMMYFUNCTION("""COMPUTED_VALUE"""),0.009315530824325112)</f>
        <v>0.009315530824</v>
      </c>
      <c r="AA73" s="69">
        <f>IFERROR(__xludf.DUMMYFUNCTION("""COMPUTED_VALUE"""),0.007915051616163295)</f>
        <v>0.007915051616</v>
      </c>
      <c r="AB73" s="69">
        <f>IFERROR(__xludf.DUMMYFUNCTION("""COMPUTED_VALUE"""),0.010296113016359354)</f>
        <v>0.01029611302</v>
      </c>
      <c r="AC73" s="69">
        <f>IFERROR(__xludf.DUMMYFUNCTION("""COMPUTED_VALUE"""),0.008594686850392165)</f>
        <v>0.00859468685</v>
      </c>
    </row>
    <row r="74" ht="30.0" customHeight="1">
      <c r="A74" s="64" t="str">
        <f>IFERROR(__xludf.DUMMYFUNCTION("""COMPUTED_VALUE"""),"Impact 73事件機率")</f>
        <v>Impact 73事件機率</v>
      </c>
      <c r="B74" s="67" t="str">
        <f t="shared" si="1"/>
        <v>0.269%</v>
      </c>
      <c r="C74" s="70">
        <f>IFERROR(__xludf.DUMMYFUNCTION("""COMPUTED_VALUE"""),0.003467580738577396)</f>
        <v>0.003467580739</v>
      </c>
      <c r="D74" s="70">
        <f>IFERROR(__xludf.DUMMYFUNCTION("""COMPUTED_VALUE"""),0.0031616095811426333)</f>
        <v>0.003161609581</v>
      </c>
      <c r="E74" s="70">
        <f>IFERROR(__xludf.DUMMYFUNCTION("""COMPUTED_VALUE"""),0.0029078582116032303)</f>
        <v>0.002907858212</v>
      </c>
      <c r="F74" s="70">
        <f>IFERROR(__xludf.DUMMYFUNCTION("""COMPUTED_VALUE"""),0.0023306804217027646)</f>
        <v>0.002330680422</v>
      </c>
      <c r="G74" s="70">
        <f>IFERROR(__xludf.DUMMYFUNCTION("""COMPUTED_VALUE"""),0.002893079806643132)</f>
        <v>0.002893079807</v>
      </c>
      <c r="H74" s="70">
        <f>IFERROR(__xludf.DUMMYFUNCTION("""COMPUTED_VALUE"""),0.0036133562025056024)</f>
        <v>0.003613356203</v>
      </c>
      <c r="I74" s="70">
        <f>IFERROR(__xludf.DUMMYFUNCTION("""COMPUTED_VALUE"""),0.002913007086550871)</f>
        <v>0.002913007087</v>
      </c>
      <c r="J74" s="70">
        <f>IFERROR(__xludf.DUMMYFUNCTION("""COMPUTED_VALUE"""),0.0026606548885224754)</f>
        <v>0.002660654889</v>
      </c>
      <c r="K74" s="70">
        <f>IFERROR(__xludf.DUMMYFUNCTION("""COMPUTED_VALUE"""),0.002457914427997763)</f>
        <v>0.002457914428</v>
      </c>
      <c r="L74" s="70">
        <f>IFERROR(__xludf.DUMMYFUNCTION("""COMPUTED_VALUE"""),0.002457914427997763)</f>
        <v>0.002457914428</v>
      </c>
      <c r="M74" s="70">
        <f>IFERROR(__xludf.DUMMYFUNCTION("""COMPUTED_VALUE"""),0.0037684789910743307)</f>
        <v>0.003768478991</v>
      </c>
      <c r="N74" s="70">
        <f>IFERROR(__xludf.DUMMYFUNCTION("""COMPUTED_VALUE"""),0.0024830578516705864)</f>
        <v>0.002483057852</v>
      </c>
      <c r="O74" s="70">
        <f>IFERROR(__xludf.DUMMYFUNCTION("""COMPUTED_VALUE"""),0.0027777099174787394)</f>
        <v>0.002777709917</v>
      </c>
      <c r="P74" s="70">
        <f>IFERROR(__xludf.DUMMYFUNCTION("""COMPUTED_VALUE"""),0.0026498777223159216)</f>
        <v>0.002649877722</v>
      </c>
      <c r="Q74" s="70">
        <f>IFERROR(__xludf.DUMMYFUNCTION("""COMPUTED_VALUE"""),0.002527817273102339)</f>
        <v>0.002527817273</v>
      </c>
      <c r="R74" s="70">
        <f>IFERROR(__xludf.DUMMYFUNCTION("""COMPUTED_VALUE"""),0.002527817273102339)</f>
        <v>0.002527817273</v>
      </c>
      <c r="S74" s="70">
        <f>IFERROR(__xludf.DUMMYFUNCTION("""COMPUTED_VALUE"""),0.0018610770077889915)</f>
        <v>0.001861077008</v>
      </c>
      <c r="T74" s="70">
        <f>IFERROR(__xludf.DUMMYFUNCTION("""COMPUTED_VALUE"""),0.002437036104614916)</f>
        <v>0.002437036105</v>
      </c>
      <c r="U74" s="70">
        <f>IFERROR(__xludf.DUMMYFUNCTION("""COMPUTED_VALUE"""),0.002823280348140764)</f>
        <v>0.002823280348</v>
      </c>
      <c r="V74" s="70">
        <f>IFERROR(__xludf.DUMMYFUNCTION("""COMPUTED_VALUE"""),0.0026359829148344584)</f>
        <v>0.002635982915</v>
      </c>
      <c r="W74" s="70">
        <f>IFERROR(__xludf.DUMMYFUNCTION("""COMPUTED_VALUE"""),0.002565360963189932)</f>
        <v>0.002565360963</v>
      </c>
      <c r="X74" s="70">
        <f>IFERROR(__xludf.DUMMYFUNCTION("""COMPUTED_VALUE"""),0.0019426983636313502)</f>
        <v>0.001942698364</v>
      </c>
      <c r="Y74" s="70">
        <f>IFERROR(__xludf.DUMMYFUNCTION("""COMPUTED_VALUE"""),0.0024381720578225204)</f>
        <v>0.002438172058</v>
      </c>
      <c r="Z74" s="70">
        <f>IFERROR(__xludf.DUMMYFUNCTION("""COMPUTED_VALUE"""),0.003011038306856438)</f>
        <v>0.003011038307</v>
      </c>
      <c r="AA74" s="70">
        <f>IFERROR(__xludf.DUMMYFUNCTION("""COMPUTED_VALUE"""),0.002358075870447453)</f>
        <v>0.00235807587</v>
      </c>
      <c r="AB74" s="70">
        <f>IFERROR(__xludf.DUMMYFUNCTION("""COMPUTED_VALUE"""),0.002437036104614916)</f>
        <v>0.002437036105</v>
      </c>
      <c r="AC74" s="70">
        <f>IFERROR(__xludf.DUMMYFUNCTION("""COMPUTED_VALUE"""),0.001862227964816897)</f>
        <v>0.001862227965</v>
      </c>
    </row>
    <row r="75" ht="30.0" customHeight="1">
      <c r="A75" s="64" t="str">
        <f>IFERROR(__xludf.DUMMYFUNCTION("""COMPUTED_VALUE"""),"Impact 74事件機率")</f>
        <v>Impact 74事件機率</v>
      </c>
      <c r="B75" s="67" t="str">
        <f t="shared" si="1"/>
        <v>0.017%</v>
      </c>
      <c r="C75" s="69">
        <f>IFERROR(__xludf.DUMMYFUNCTION("""COMPUTED_VALUE"""),2.610849058115408E-4)</f>
        <v>0.0002610849058</v>
      </c>
      <c r="D75" s="69">
        <f>IFERROR(__xludf.DUMMYFUNCTION("""COMPUTED_VALUE"""),1.6436354346625778E-4)</f>
        <v>0.0001643635435</v>
      </c>
      <c r="E75" s="69">
        <f>IFERROR(__xludf.DUMMYFUNCTION("""COMPUTED_VALUE"""),1.9464225804887868E-4)</f>
        <v>0.000194642258</v>
      </c>
      <c r="F75" s="69">
        <f>IFERROR(__xludf.DUMMYFUNCTION("""COMPUTED_VALUE"""),1.3603169944112394E-4)</f>
        <v>0.0001360316994</v>
      </c>
      <c r="G75" s="69">
        <f>IFERROR(__xludf.DUMMYFUNCTION("""COMPUTED_VALUE"""),1.7962758607596857E-4)</f>
        <v>0.0001796275861</v>
      </c>
      <c r="H75" s="69">
        <f>IFERROR(__xludf.DUMMYFUNCTION("""COMPUTED_VALUE"""),2.3386800732172185E-4)</f>
        <v>0.0002338680073</v>
      </c>
      <c r="I75" s="69">
        <f>IFERROR(__xludf.DUMMYFUNCTION("""COMPUTED_VALUE"""),1.5849106694936085E-4)</f>
        <v>0.0001584910669</v>
      </c>
      <c r="J75" s="69">
        <f>IFERROR(__xludf.DUMMYFUNCTION("""COMPUTED_VALUE"""),1.8986591130094253E-4)</f>
        <v>0.0001898659113</v>
      </c>
      <c r="K75" s="69">
        <f>IFERROR(__xludf.DUMMYFUNCTION("""COMPUTED_VALUE"""),1.232911412705208E-4)</f>
        <v>0.0001232911413</v>
      </c>
      <c r="L75" s="69">
        <f>IFERROR(__xludf.DUMMYFUNCTION("""COMPUTED_VALUE"""),1.232911412705208E-4)</f>
        <v>0.0001232911413</v>
      </c>
      <c r="M75" s="69">
        <f>IFERROR(__xludf.DUMMYFUNCTION("""COMPUTED_VALUE"""),2.016118969622861E-4)</f>
        <v>0.000201611897</v>
      </c>
      <c r="N75" s="69">
        <f>IFERROR(__xludf.DUMMYFUNCTION("""COMPUTED_VALUE"""),1.618905671782032E-4)</f>
        <v>0.0001618905672</v>
      </c>
      <c r="O75" s="69">
        <f>IFERROR(__xludf.DUMMYFUNCTION("""COMPUTED_VALUE"""),1.6646929080613295E-4)</f>
        <v>0.0001664692908</v>
      </c>
      <c r="P75" s="69">
        <f>IFERROR(__xludf.DUMMYFUNCTION("""COMPUTED_VALUE"""),1.6266476193766205E-4)</f>
        <v>0.0001626647619</v>
      </c>
      <c r="Q75" s="69">
        <f>IFERROR(__xludf.DUMMYFUNCTION("""COMPUTED_VALUE"""),1.6783235063289718E-4)</f>
        <v>0.0001678323506</v>
      </c>
      <c r="R75" s="69">
        <f>IFERROR(__xludf.DUMMYFUNCTION("""COMPUTED_VALUE"""),1.6783235063289718E-4)</f>
        <v>0.0001678323506</v>
      </c>
      <c r="S75" s="69">
        <f>IFERROR(__xludf.DUMMYFUNCTION("""COMPUTED_VALUE"""),1.3588276761920478E-4)</f>
        <v>0.0001358827676</v>
      </c>
      <c r="T75" s="69">
        <f>IFERROR(__xludf.DUMMYFUNCTION("""COMPUTED_VALUE"""),1.1874743962314875E-4)</f>
        <v>0.0001187474396</v>
      </c>
      <c r="U75" s="69">
        <f>IFERROR(__xludf.DUMMYFUNCTION("""COMPUTED_VALUE"""),2.0446178496993022E-4)</f>
        <v>0.000204461785</v>
      </c>
      <c r="V75" s="69">
        <f>IFERROR(__xludf.DUMMYFUNCTION("""COMPUTED_VALUE"""),1.44874051834652E-4)</f>
        <v>0.0001448740518</v>
      </c>
      <c r="W75" s="69">
        <f>IFERROR(__xludf.DUMMYFUNCTION("""COMPUTED_VALUE"""),1.6298822211563435E-4)</f>
        <v>0.0001629882221</v>
      </c>
      <c r="X75" s="69">
        <f>IFERROR(__xludf.DUMMYFUNCTION("""COMPUTED_VALUE"""),1.1918426668608847E-4)</f>
        <v>0.0001191842667</v>
      </c>
      <c r="Y75" s="69">
        <f>IFERROR(__xludf.DUMMYFUNCTION("""COMPUTED_VALUE"""),1.4354469145483364E-4)</f>
        <v>0.0001435446915</v>
      </c>
      <c r="Z75" s="69">
        <f>IFERROR(__xludf.DUMMYFUNCTION("""COMPUTED_VALUE"""),2.0440882289694598E-4)</f>
        <v>0.0002044088229</v>
      </c>
      <c r="AA75" s="69">
        <f>IFERROR(__xludf.DUMMYFUNCTION("""COMPUTED_VALUE"""),1.738016652385585E-4)</f>
        <v>0.0001738016652</v>
      </c>
      <c r="AB75" s="69">
        <f>IFERROR(__xludf.DUMMYFUNCTION("""COMPUTED_VALUE"""),1.1874743962314875E-4)</f>
        <v>0.0001187474396</v>
      </c>
      <c r="AC75" s="69">
        <f>IFERROR(__xludf.DUMMYFUNCTION("""COMPUTED_VALUE"""),1.3351942168106744E-4)</f>
        <v>0.0001335194217</v>
      </c>
    </row>
    <row r="76" ht="30.0" customHeight="1">
      <c r="A76" s="64" t="str">
        <f>IFERROR(__xludf.DUMMYFUNCTION("""COMPUTED_VALUE"""),"Impact 75事件機率")</f>
        <v>Impact 75事件機率</v>
      </c>
      <c r="B76" s="67" t="str">
        <f t="shared" si="1"/>
        <v>0.011%</v>
      </c>
      <c r="C76" s="70">
        <f>IFERROR(__xludf.DUMMYFUNCTION("""COMPUTED_VALUE"""),1.7754909944826098E-4)</f>
        <v>0.0001775490994</v>
      </c>
      <c r="D76" s="70">
        <f>IFERROR(__xludf.DUMMYFUNCTION("""COMPUTED_VALUE"""),1.1066218193042333E-4)</f>
        <v>0.0001106621819</v>
      </c>
      <c r="E76" s="70">
        <f>IFERROR(__xludf.DUMMYFUNCTION("""COMPUTED_VALUE"""),1.3179157743369062E-4)</f>
        <v>0.0001317915774</v>
      </c>
      <c r="F76" s="70">
        <f>IFERROR(__xludf.DUMMYFUNCTION("""COMPUTED_VALUE"""),9.203853646979083E-5)</f>
        <v>0.00009203853647</v>
      </c>
      <c r="G76" s="70">
        <f>IFERROR(__xludf.DUMMYFUNCTION("""COMPUTED_VALUE"""),1.2159576546336547E-4)</f>
        <v>0.0001215957655</v>
      </c>
      <c r="H76" s="70">
        <f>IFERROR(__xludf.DUMMYFUNCTION("""COMPUTED_VALUE"""),1.5835976357191943E-4)</f>
        <v>0.0001583597636</v>
      </c>
      <c r="I76" s="70">
        <f>IFERROR(__xludf.DUMMYFUNCTION("""COMPUTED_VALUE"""),1.0719198953400623E-4)</f>
        <v>0.0001071919895</v>
      </c>
      <c r="J76" s="70">
        <f>IFERROR(__xludf.DUMMYFUNCTION("""COMPUTED_VALUE"""),1.286594378117777E-4)</f>
        <v>0.0001286594378</v>
      </c>
      <c r="K76" s="70">
        <f>IFERROR(__xludf.DUMMYFUNCTION("""COMPUTED_VALUE"""),8.385567220381118E-5)</f>
        <v>0.0000838556722</v>
      </c>
      <c r="L76" s="70">
        <f>IFERROR(__xludf.DUMMYFUNCTION("""COMPUTED_VALUE"""),8.385567220381118E-5)</f>
        <v>0.0000838556722</v>
      </c>
      <c r="M76" s="70">
        <f>IFERROR(__xludf.DUMMYFUNCTION("""COMPUTED_VALUE"""),1.3576183764844535E-4)</f>
        <v>0.0001357618376</v>
      </c>
      <c r="N76" s="70">
        <f>IFERROR(__xludf.DUMMYFUNCTION("""COMPUTED_VALUE"""),1.1009842894042782E-4)</f>
        <v>0.0001100984289</v>
      </c>
      <c r="O76" s="70">
        <f>IFERROR(__xludf.DUMMYFUNCTION("""COMPUTED_VALUE"""),1.1215515205012408E-4)</f>
        <v>0.0001121551521</v>
      </c>
      <c r="P76" s="70">
        <f>IFERROR(__xludf.DUMMYFUNCTION("""COMPUTED_VALUE"""),1.1090221123058592E-4)</f>
        <v>0.0001109022112</v>
      </c>
      <c r="Q76" s="70">
        <f>IFERROR(__xludf.DUMMYFUNCTION("""COMPUTED_VALUE"""),1.1305711634508474E-4)</f>
        <v>0.0001130571163</v>
      </c>
      <c r="R76" s="70">
        <f>IFERROR(__xludf.DUMMYFUNCTION("""COMPUTED_VALUE"""),1.1305711634508474E-4)</f>
        <v>0.0001130571163</v>
      </c>
      <c r="S76" s="70">
        <f>IFERROR(__xludf.DUMMYFUNCTION("""COMPUTED_VALUE"""),9.157997912901127E-5)</f>
        <v>0.00009157997913</v>
      </c>
      <c r="T76" s="70">
        <f>IFERROR(__xludf.DUMMYFUNCTION("""COMPUTED_VALUE"""),8.059279457622111E-5)</f>
        <v>0.00008059279458</v>
      </c>
      <c r="U76" s="70">
        <f>IFERROR(__xludf.DUMMYFUNCTION("""COMPUTED_VALUE"""),1.4008896073413183E-4)</f>
        <v>0.0001400889607</v>
      </c>
      <c r="V76" s="70">
        <f>IFERROR(__xludf.DUMMYFUNCTION("""COMPUTED_VALUE"""),9.783973021483795E-5)</f>
        <v>0.00009783973021</v>
      </c>
      <c r="W76" s="70">
        <f>IFERROR(__xludf.DUMMYFUNCTION("""COMPUTED_VALUE"""),1.1088581298704997E-4)</f>
        <v>0.000110885813</v>
      </c>
      <c r="X76" s="70">
        <f>IFERROR(__xludf.DUMMYFUNCTION("""COMPUTED_VALUE"""),8.04911379901493E-5)</f>
        <v>0.00008049113799</v>
      </c>
      <c r="Y76" s="70">
        <f>IFERROR(__xludf.DUMMYFUNCTION("""COMPUTED_VALUE"""),9.80995569509297E-5)</f>
        <v>0.00009809955695</v>
      </c>
      <c r="Z76" s="70">
        <f>IFERROR(__xludf.DUMMYFUNCTION("""COMPUTED_VALUE"""),1.3800337484836598E-4)</f>
        <v>0.0001380033748</v>
      </c>
      <c r="AA76" s="70">
        <f>IFERROR(__xludf.DUMMYFUNCTION("""COMPUTED_VALUE"""),1.1711912407449135E-4)</f>
        <v>0.0001171191241</v>
      </c>
      <c r="AB76" s="70">
        <f>IFERROR(__xludf.DUMMYFUNCTION("""COMPUTED_VALUE"""),8.059279457622111E-5)</f>
        <v>0.00008059279458</v>
      </c>
      <c r="AC76" s="70">
        <f>IFERROR(__xludf.DUMMYFUNCTION("""COMPUTED_VALUE"""),9.106832161078326E-5)</f>
        <v>0.00009106832161</v>
      </c>
    </row>
    <row r="77" ht="30.0" customHeight="1">
      <c r="A77" s="64" t="str">
        <f>IFERROR(__xludf.DUMMYFUNCTION("""COMPUTED_VALUE"""),"Impact 76事件機率")</f>
        <v>Impact 76事件機率</v>
      </c>
      <c r="B77" s="67" t="str">
        <f t="shared" si="1"/>
        <v>0.007%</v>
      </c>
      <c r="C77" s="69">
        <f>IFERROR(__xludf.DUMMYFUNCTION("""COMPUTED_VALUE"""),1.053583944348761E-4)</f>
        <v>0.0001053583944</v>
      </c>
      <c r="D77" s="69">
        <f>IFERROR(__xludf.DUMMYFUNCTION("""COMPUTED_VALUE"""),6.563845021782987E-5)</f>
        <v>0.00006563845022</v>
      </c>
      <c r="E77" s="69">
        <f>IFERROR(__xludf.DUMMYFUNCTION("""COMPUTED_VALUE"""),7.853703994110568E-5)</f>
        <v>0.00007853703994</v>
      </c>
      <c r="F77" s="69">
        <f>IFERROR(__xludf.DUMMYFUNCTION("""COMPUTED_VALUE"""),5.4119877756176765E-5)</f>
        <v>0.00005411987776</v>
      </c>
      <c r="G77" s="69">
        <f>IFERROR(__xludf.DUMMYFUNCTION("""COMPUTED_VALUE"""),7.208672963951703E-5)</f>
        <v>0.00007208672964</v>
      </c>
      <c r="H77" s="69">
        <f>IFERROR(__xludf.DUMMYFUNCTION("""COMPUTED_VALUE"""),9.396824024305233E-5)</f>
        <v>0.00009396824024</v>
      </c>
      <c r="I77" s="69">
        <f>IFERROR(__xludf.DUMMYFUNCTION("""COMPUTED_VALUE"""),6.403038902987446E-5)</f>
        <v>0.00006403038903</v>
      </c>
      <c r="J77" s="69">
        <f>IFERROR(__xludf.DUMMYFUNCTION("""COMPUTED_VALUE"""),7.568482813833718E-5)</f>
        <v>0.00007568482814</v>
      </c>
      <c r="K77" s="69">
        <f>IFERROR(__xludf.DUMMYFUNCTION("""COMPUTED_VALUE"""),4.97618304998516E-5)</f>
        <v>0.0000497618305</v>
      </c>
      <c r="L77" s="69">
        <f>IFERROR(__xludf.DUMMYFUNCTION("""COMPUTED_VALUE"""),4.97618304998516E-5)</f>
        <v>0.0000497618305</v>
      </c>
      <c r="M77" s="69">
        <f>IFERROR(__xludf.DUMMYFUNCTION("""COMPUTED_VALUE"""),8.03006544538051E-5)</f>
        <v>0.00008030065445</v>
      </c>
      <c r="N77" s="69">
        <f>IFERROR(__xludf.DUMMYFUNCTION("""COMPUTED_VALUE"""),6.497304595146753E-5)</f>
        <v>0.00006497304595</v>
      </c>
      <c r="O77" s="69">
        <f>IFERROR(__xludf.DUMMYFUNCTION("""COMPUTED_VALUE"""),6.619667657436569E-5)</f>
        <v>0.00006619667657</v>
      </c>
      <c r="P77" s="69">
        <f>IFERROR(__xludf.DUMMYFUNCTION("""COMPUTED_VALUE"""),6.584465823586577E-5)</f>
        <v>0.00006584465824</v>
      </c>
      <c r="Q77" s="69">
        <f>IFERROR(__xludf.DUMMYFUNCTION("""COMPUTED_VALUE"""),6.700289182791013E-5)</f>
        <v>0.00006700289183</v>
      </c>
      <c r="R77" s="69">
        <f>IFERROR(__xludf.DUMMYFUNCTION("""COMPUTED_VALUE"""),6.700289182791013E-5)</f>
        <v>0.00006700289183</v>
      </c>
      <c r="S77" s="69">
        <f>IFERROR(__xludf.DUMMYFUNCTION("""COMPUTED_VALUE"""),5.4044201598683994E-5)</f>
        <v>0.0000540442016</v>
      </c>
      <c r="T77" s="69">
        <f>IFERROR(__xludf.DUMMYFUNCTION("""COMPUTED_VALUE"""),4.780435566187762E-5)</f>
        <v>0.00004780435566</v>
      </c>
      <c r="U77" s="69">
        <f>IFERROR(__xludf.DUMMYFUNCTION("""COMPUTED_VALUE"""),8.37291856385561E-5)</f>
        <v>0.00008372918564</v>
      </c>
      <c r="V77" s="69">
        <f>IFERROR(__xludf.DUMMYFUNCTION("""COMPUTED_VALUE"""),5.765082145870356E-5)</f>
        <v>0.00005765082146</v>
      </c>
      <c r="W77" s="69">
        <f>IFERROR(__xludf.DUMMYFUNCTION("""COMPUTED_VALUE"""),6.556452656138529E-5)</f>
        <v>0.00006556452656</v>
      </c>
      <c r="X77" s="69">
        <f>IFERROR(__xludf.DUMMYFUNCTION("""COMPUTED_VALUE"""),4.769500167292209E-5)</f>
        <v>0.00004769500167</v>
      </c>
      <c r="Y77" s="69">
        <f>IFERROR(__xludf.DUMMYFUNCTION("""COMPUTED_VALUE"""),5.8446874691682416E-5)</f>
        <v>0.00005844687469</v>
      </c>
      <c r="Z77" s="69">
        <f>IFERROR(__xludf.DUMMYFUNCTION("""COMPUTED_VALUE"""),8.16478610934456E-5)</f>
        <v>0.00008164786109</v>
      </c>
      <c r="AA77" s="69">
        <f>IFERROR(__xludf.DUMMYFUNCTION("""COMPUTED_VALUE"""),6.904751153232483E-5)</f>
        <v>0.00006904751153</v>
      </c>
      <c r="AB77" s="69">
        <f>IFERROR(__xludf.DUMMYFUNCTION("""COMPUTED_VALUE"""),4.780435566187762E-5)</f>
        <v>0.00004780435566</v>
      </c>
      <c r="AC77" s="69">
        <f>IFERROR(__xludf.DUMMYFUNCTION("""COMPUTED_VALUE"""),5.4303274938862115E-5)</f>
        <v>0.00005430327494</v>
      </c>
    </row>
    <row r="78" ht="30.0" customHeight="1">
      <c r="A78" s="64" t="str">
        <f>IFERROR(__xludf.DUMMYFUNCTION("""COMPUTED_VALUE"""),"Impact 77事件機率")</f>
        <v>Impact 77事件機率</v>
      </c>
      <c r="B78" s="67" t="str">
        <f t="shared" si="1"/>
        <v>0.007%</v>
      </c>
      <c r="C78" s="70">
        <f>IFERROR(__xludf.DUMMYFUNCTION("""COMPUTED_VALUE"""),1.1586101052389871E-4)</f>
        <v>0.0001158610105</v>
      </c>
      <c r="D78" s="70">
        <f>IFERROR(__xludf.DUMMYFUNCTION("""COMPUTED_VALUE"""),7.205535063333067E-5)</f>
        <v>0.00007205535063</v>
      </c>
      <c r="E78" s="70">
        <f>IFERROR(__xludf.DUMMYFUNCTION("""COMPUTED_VALUE"""),8.613353954236148E-5)</f>
        <v>0.00008613353954</v>
      </c>
      <c r="F78" s="70">
        <f>IFERROR(__xludf.DUMMYFUNCTION("""COMPUTED_VALUE"""),5.921520660070367E-5)</f>
        <v>0.0000592152066</v>
      </c>
      <c r="G78" s="70">
        <f>IFERROR(__xludf.DUMMYFUNCTION("""COMPUTED_VALUE"""),7.900350987174633E-5)</f>
        <v>0.00007900350987</v>
      </c>
      <c r="H78" s="70">
        <f>IFERROR(__xludf.DUMMYFUNCTION("""COMPUTED_VALUE"""),1.0287389721167947E-4)</f>
        <v>0.0001028738972</v>
      </c>
      <c r="I78" s="70">
        <f>IFERROR(__xludf.DUMMYFUNCTION("""COMPUTED_VALUE"""),7.01592603445735E-5)</f>
        <v>0.00007015926034</v>
      </c>
      <c r="J78" s="70">
        <f>IFERROR(__xludf.DUMMYFUNCTION("""COMPUTED_VALUE"""),8.278805086297774E-5)</f>
        <v>0.00008278805086</v>
      </c>
      <c r="K78" s="70">
        <f>IFERROR(__xludf.DUMMYFUNCTION("""COMPUTED_VALUE"""),5.4767241657238504E-5)</f>
        <v>0.00005476724166</v>
      </c>
      <c r="L78" s="70">
        <f>IFERROR(__xludf.DUMMYFUNCTION("""COMPUTED_VALUE"""),5.4767241657238504E-5)</f>
        <v>0.00005476724166</v>
      </c>
      <c r="M78" s="70">
        <f>IFERROR(__xludf.DUMMYFUNCTION("""COMPUTED_VALUE"""),8.806237575339403E-5)</f>
        <v>0.00008806237575</v>
      </c>
      <c r="N78" s="70">
        <f>IFERROR(__xludf.DUMMYFUNCTION("""COMPUTED_VALUE"""),7.150359906527822E-5)</f>
        <v>0.00007150359907</v>
      </c>
      <c r="O78" s="70">
        <f>IFERROR(__xludf.DUMMYFUNCTION("""COMPUTED_VALUE"""),7.271409318564102E-5)</f>
        <v>0.00007271409319</v>
      </c>
      <c r="P78" s="70">
        <f>IFERROR(__xludf.DUMMYFUNCTION("""COMPUTED_VALUE"""),7.252994833830914E-5)</f>
        <v>0.00007252994834</v>
      </c>
      <c r="Q78" s="70">
        <f>IFERROR(__xludf.DUMMYFUNCTION("""COMPUTED_VALUE"""),7.361003257930535E-5)</f>
        <v>0.00007361003258</v>
      </c>
      <c r="R78" s="70">
        <f>IFERROR(__xludf.DUMMYFUNCTION("""COMPUTED_VALUE"""),7.361003257930535E-5)</f>
        <v>0.00007361003258</v>
      </c>
      <c r="S78" s="70">
        <f>IFERROR(__xludf.DUMMYFUNCTION("""COMPUTED_VALUE"""),5.940993813615358E-5)</f>
        <v>0.00005940993814</v>
      </c>
      <c r="T78" s="70">
        <f>IFERROR(__xludf.DUMMYFUNCTION("""COMPUTED_VALUE"""),5.248972991502225E-5)</f>
        <v>0.00005248972992</v>
      </c>
      <c r="U78" s="70">
        <f>IFERROR(__xludf.DUMMYFUNCTION("""COMPUTED_VALUE"""),9.188295755209046E-5)</f>
        <v>0.00009188295755</v>
      </c>
      <c r="V78" s="70">
        <f>IFERROR(__xludf.DUMMYFUNCTION("""COMPUTED_VALUE"""),6.310597073444714E-5)</f>
        <v>0.00006310597073</v>
      </c>
      <c r="W78" s="70">
        <f>IFERROR(__xludf.DUMMYFUNCTION("""COMPUTED_VALUE"""),7.179427086364318E-5)</f>
        <v>0.00007179427086</v>
      </c>
      <c r="X78" s="70">
        <f>IFERROR(__xludf.DUMMYFUNCTION("""COMPUTED_VALUE"""),5.2161472586279034E-5)</f>
        <v>0.00005216147259</v>
      </c>
      <c r="Y78" s="70">
        <f>IFERROR(__xludf.DUMMYFUNCTION("""COMPUTED_VALUE"""),6.411353235355158E-5)</f>
        <v>0.00006411353235</v>
      </c>
      <c r="Z78" s="70">
        <f>IFERROR(__xludf.DUMMYFUNCTION("""COMPUTED_VALUE"""),8.935615371975862E-5)</f>
        <v>0.00008935615372</v>
      </c>
      <c r="AA78" s="70">
        <f>IFERROR(__xludf.DUMMYFUNCTION("""COMPUTED_VALUE"""),7.599142948676977E-5)</f>
        <v>0.00007599142949</v>
      </c>
      <c r="AB78" s="70">
        <f>IFERROR(__xludf.DUMMYFUNCTION("""COMPUTED_VALUE"""),5.248972991502225E-5)</f>
        <v>0.00005248972992</v>
      </c>
      <c r="AC78" s="70">
        <f>IFERROR(__xludf.DUMMYFUNCTION("""COMPUTED_VALUE"""),5.956828876500635E-5)</f>
        <v>0.00005956828877</v>
      </c>
    </row>
    <row r="79" ht="30.0" customHeight="1">
      <c r="A79" s="64" t="str">
        <f>IFERROR(__xludf.DUMMYFUNCTION("""COMPUTED_VALUE"""),"Impact 78事件機率")</f>
        <v>Impact 78事件機率</v>
      </c>
      <c r="B79" s="67" t="str">
        <f t="shared" si="1"/>
        <v>0.013%</v>
      </c>
      <c r="C79" s="69">
        <f>IFERROR(__xludf.DUMMYFUNCTION("""COMPUTED_VALUE"""),2.0668722065811761E-4)</f>
        <v>0.0002066872207</v>
      </c>
      <c r="D79" s="69">
        <f>IFERROR(__xludf.DUMMYFUNCTION("""COMPUTED_VALUE"""),1.292322160845815E-4)</f>
        <v>0.0001292322161</v>
      </c>
      <c r="E79" s="69">
        <f>IFERROR(__xludf.DUMMYFUNCTION("""COMPUTED_VALUE"""),1.545002930428358E-4)</f>
        <v>0.000154500293</v>
      </c>
      <c r="F79" s="69">
        <f>IFERROR(__xludf.DUMMYFUNCTION("""COMPUTED_VALUE"""),1.059772720411296E-4)</f>
        <v>0.000105977272</v>
      </c>
      <c r="G79" s="69">
        <f>IFERROR(__xludf.DUMMYFUNCTION("""COMPUTED_VALUE"""),1.4526604210976973E-4)</f>
        <v>0.0001452660421</v>
      </c>
      <c r="H79" s="69">
        <f>IFERROR(__xludf.DUMMYFUNCTION("""COMPUTED_VALUE"""),1.817732515081368E-4)</f>
        <v>0.0001817732515</v>
      </c>
      <c r="I79" s="69">
        <f>IFERROR(__xludf.DUMMYFUNCTION("""COMPUTED_VALUE"""),1.2522247779028317E-4)</f>
        <v>0.0001252224778</v>
      </c>
      <c r="J79" s="69">
        <f>IFERROR(__xludf.DUMMYFUNCTION("""COMPUTED_VALUE"""),1.4820268092912006E-4)</f>
        <v>0.0001482026809</v>
      </c>
      <c r="K79" s="69">
        <f>IFERROR(__xludf.DUMMYFUNCTION("""COMPUTED_VALUE"""),9.752561581020888E-5)</f>
        <v>0.00009752561581</v>
      </c>
      <c r="L79" s="69">
        <f>IFERROR(__xludf.DUMMYFUNCTION("""COMPUTED_VALUE"""),9.752561581020888E-5)</f>
        <v>0.00009752561581</v>
      </c>
      <c r="M79" s="69">
        <f>IFERROR(__xludf.DUMMYFUNCTION("""COMPUTED_VALUE"""),1.5813021547082362E-4)</f>
        <v>0.0001581302155</v>
      </c>
      <c r="N79" s="69">
        <f>IFERROR(__xludf.DUMMYFUNCTION("""COMPUTED_VALUE"""),1.2842646259737876E-4)</f>
        <v>0.0001284264626</v>
      </c>
      <c r="O79" s="69">
        <f>IFERROR(__xludf.DUMMYFUNCTION("""COMPUTED_VALUE"""),1.295837542359357E-4)</f>
        <v>0.0001295837542</v>
      </c>
      <c r="P79" s="69">
        <f>IFERROR(__xludf.DUMMYFUNCTION("""COMPUTED_VALUE"""),1.3237470962314523E-4)</f>
        <v>0.0001323747096</v>
      </c>
      <c r="Q79" s="69">
        <f>IFERROR(__xludf.DUMMYFUNCTION("""COMPUTED_VALUE"""),1.305292693276825E-4)</f>
        <v>0.0001305292693</v>
      </c>
      <c r="R79" s="69">
        <f>IFERROR(__xludf.DUMMYFUNCTION("""COMPUTED_VALUE"""),1.305292693276825E-4)</f>
        <v>0.0001305292693</v>
      </c>
      <c r="S79" s="69">
        <f>IFERROR(__xludf.DUMMYFUNCTION("""COMPUTED_VALUE"""),1.0639093506933575E-4)</f>
        <v>0.0001063909351</v>
      </c>
      <c r="T79" s="69">
        <f>IFERROR(__xludf.DUMMYFUNCTION("""COMPUTED_VALUE"""),9.384915558392876E-5)</f>
        <v>0.00009384915558</v>
      </c>
      <c r="U79" s="69">
        <f>IFERROR(__xludf.DUMMYFUNCTION("""COMPUTED_VALUE"""),1.6384315388930448E-4)</f>
        <v>0.0001638431539</v>
      </c>
      <c r="V79" s="69">
        <f>IFERROR(__xludf.DUMMYFUNCTION("""COMPUTED_VALUE"""),1.1337456107020321E-4)</f>
        <v>0.0001133745611</v>
      </c>
      <c r="W79" s="69">
        <f>IFERROR(__xludf.DUMMYFUNCTION("""COMPUTED_VALUE"""),1.2931527786765748E-4)</f>
        <v>0.0001293152779</v>
      </c>
      <c r="X79" s="69">
        <f>IFERROR(__xludf.DUMMYFUNCTION("""COMPUTED_VALUE"""),9.264668643294324E-5)</f>
        <v>0.00009264668643</v>
      </c>
      <c r="Y79" s="69">
        <f>IFERROR(__xludf.DUMMYFUNCTION("""COMPUTED_VALUE"""),1.1553218134689177E-4)</f>
        <v>0.0001155321813</v>
      </c>
      <c r="Z79" s="69">
        <f>IFERROR(__xludf.DUMMYFUNCTION("""COMPUTED_VALUE"""),1.5906795363167887E-4)</f>
        <v>0.0001590679536</v>
      </c>
      <c r="AA79" s="69">
        <f>IFERROR(__xludf.DUMMYFUNCTION("""COMPUTED_VALUE"""),1.360525877329148E-4)</f>
        <v>0.0001360525877</v>
      </c>
      <c r="AB79" s="69">
        <f>IFERROR(__xludf.DUMMYFUNCTION("""COMPUTED_VALUE"""),9.384915558392876E-5)</f>
        <v>0.00009384915558</v>
      </c>
      <c r="AC79" s="69">
        <f>IFERROR(__xludf.DUMMYFUNCTION("""COMPUTED_VALUE"""),1.0642959191725303E-4)</f>
        <v>0.0001064295919</v>
      </c>
    </row>
    <row r="80" ht="30.0" customHeight="1">
      <c r="A80" s="64" t="str">
        <f>IFERROR(__xludf.DUMMYFUNCTION("""COMPUTED_VALUE"""),"Impact 79事件機率")</f>
        <v>Impact 79事件機率</v>
      </c>
      <c r="B80" s="67" t="str">
        <f t="shared" si="1"/>
        <v>0.009%</v>
      </c>
      <c r="C80" s="70">
        <f>IFERROR(__xludf.DUMMYFUNCTION("""COMPUTED_VALUE"""),1.4051379733737084E-4)</f>
        <v>0.0001405137973</v>
      </c>
      <c r="D80" s="70">
        <f>IFERROR(__xludf.DUMMYFUNCTION("""COMPUTED_VALUE"""),8.708112768935311E-5)</f>
        <v>0.00008708112769</v>
      </c>
      <c r="E80" s="70">
        <f>IFERROR(__xludf.DUMMYFUNCTION("""COMPUTED_VALUE"""),1.0465228474070264E-4)</f>
        <v>0.0001046522847</v>
      </c>
      <c r="F80" s="70">
        <f>IFERROR(__xludf.DUMMYFUNCTION("""COMPUTED_VALUE"""),7.169787887740776E-5)</f>
        <v>0.00007169787888</v>
      </c>
      <c r="G80" s="70">
        <f>IFERROR(__xludf.DUMMYFUNCTION("""COMPUTED_VALUE"""),9.835411413998827E-5)</f>
        <v>0.00009835411414</v>
      </c>
      <c r="H80" s="70">
        <f>IFERROR(__xludf.DUMMYFUNCTION("""COMPUTED_VALUE"""),1.230629121282671E-4)</f>
        <v>0.0001230629121</v>
      </c>
      <c r="I80" s="70">
        <f>IFERROR(__xludf.DUMMYFUNCTION("""COMPUTED_VALUE"""),8.467345760742204E-5)</f>
        <v>0.00008467345761</v>
      </c>
      <c r="J80" s="70">
        <f>IFERROR(__xludf.DUMMYFUNCTION("""COMPUTED_VALUE"""),1.0042625457163603E-4)</f>
        <v>0.0001004262546</v>
      </c>
      <c r="K80" s="70">
        <f>IFERROR(__xludf.DUMMYFUNCTION("""COMPUTED_VALUE"""),6.634584996353295E-5)</f>
        <v>0.00006634584996</v>
      </c>
      <c r="L80" s="70">
        <f>IFERROR(__xludf.DUMMYFUNCTION("""COMPUTED_VALUE"""),6.634584996353295E-5)</f>
        <v>0.00006634584996</v>
      </c>
      <c r="M80" s="70">
        <f>IFERROR(__xludf.DUMMYFUNCTION("""COMPUTED_VALUE"""),1.0659117753220925E-4)</f>
        <v>0.0001065911775</v>
      </c>
      <c r="N80" s="70">
        <f>IFERROR(__xludf.DUMMYFUNCTION("""COMPUTED_VALUE"""),8.731460632898708E-5)</f>
        <v>0.00008731460633</v>
      </c>
      <c r="O80" s="70">
        <f>IFERROR(__xludf.DUMMYFUNCTION("""COMPUTED_VALUE"""),8.734060650512611E-5)</f>
        <v>0.00008734060651</v>
      </c>
      <c r="P80" s="70">
        <f>IFERROR(__xludf.DUMMYFUNCTION("""COMPUTED_VALUE"""),7.795692873731412E-5)</f>
        <v>0.00007795692874</v>
      </c>
      <c r="Q80" s="70">
        <f>IFERROR(__xludf.DUMMYFUNCTION("""COMPUTED_VALUE"""),8.788540555293583E-5)</f>
        <v>0.00008788540555</v>
      </c>
      <c r="R80" s="70">
        <f>IFERROR(__xludf.DUMMYFUNCTION("""COMPUTED_VALUE"""),8.788540555293583E-5)</f>
        <v>0.00008788540555</v>
      </c>
      <c r="S80" s="70">
        <f>IFERROR(__xludf.DUMMYFUNCTION("""COMPUTED_VALUE"""),7.161949065212572E-5)</f>
        <v>0.00007161949065</v>
      </c>
      <c r="T80" s="70">
        <f>IFERROR(__xludf.DUMMYFUNCTION("""COMPUTED_VALUE"""),6.367619389457439E-5)</f>
        <v>0.00006367619389</v>
      </c>
      <c r="U80" s="70">
        <f>IFERROR(__xludf.DUMMYFUNCTION("""COMPUTED_VALUE"""),1.1206889396273347E-4)</f>
        <v>0.000112068894</v>
      </c>
      <c r="V80" s="70">
        <f>IFERROR(__xludf.DUMMYFUNCTION("""COMPUTED_VALUE"""),7.662036542939148E-5)</f>
        <v>0.00007662036543</v>
      </c>
      <c r="W80" s="70">
        <f>IFERROR(__xludf.DUMMYFUNCTION("""COMPUTED_VALUE"""),8.794977796198644E-5)</f>
        <v>0.00008794977796</v>
      </c>
      <c r="X80" s="70">
        <f>IFERROR(__xludf.DUMMYFUNCTION("""COMPUTED_VALUE"""),6.258275000579951E-5)</f>
        <v>0.00006258275001</v>
      </c>
      <c r="Y80" s="70">
        <f>IFERROR(__xludf.DUMMYFUNCTION("""COMPUTED_VALUE"""),7.89884609808456E-5)</f>
        <v>0.00007898846098</v>
      </c>
      <c r="Z80" s="70">
        <f>IFERROR(__xludf.DUMMYFUNCTION("""COMPUTED_VALUE"""),1.0734883237256333E-4)</f>
        <v>0.0001073488324</v>
      </c>
      <c r="AA80" s="70">
        <f>IFERROR(__xludf.DUMMYFUNCTION("""COMPUTED_VALUE"""),9.150811892562227E-5)</f>
        <v>0.00009150811893</v>
      </c>
      <c r="AB80" s="70">
        <f>IFERROR(__xludf.DUMMYFUNCTION("""COMPUTED_VALUE"""),6.367619389457439E-5)</f>
        <v>0.00006367619389</v>
      </c>
      <c r="AC80" s="70">
        <f>IFERROR(__xludf.DUMMYFUNCTION("""COMPUTED_VALUE"""),7.251928325704933E-5)</f>
        <v>0.00007251928326</v>
      </c>
    </row>
    <row r="81" ht="30.0" customHeight="1">
      <c r="A81" s="64" t="str">
        <f>IFERROR(__xludf.DUMMYFUNCTION("""COMPUTED_VALUE"""),"Impact 80事件機率")</f>
        <v>Impact 80事件機率</v>
      </c>
      <c r="B81" s="67" t="str">
        <f t="shared" si="1"/>
        <v>0.008%</v>
      </c>
      <c r="C81" s="69">
        <f>IFERROR(__xludf.DUMMYFUNCTION("""COMPUTED_VALUE"""),1.2726909065374894E-4)</f>
        <v>0.0001272690907</v>
      </c>
      <c r="D81" s="69">
        <f>IFERROR(__xludf.DUMMYFUNCTION("""COMPUTED_VALUE"""),7.919718519132749E-5)</f>
        <v>0.00007919718519</v>
      </c>
      <c r="E81" s="69">
        <f>IFERROR(__xludf.DUMMYFUNCTION("""COMPUTED_VALUE"""),9.481195276399643E-5)</f>
        <v>0.00009481195276</v>
      </c>
      <c r="F81" s="69">
        <f>IFERROR(__xludf.DUMMYFUNCTION("""COMPUTED_VALUE"""),6.492979786903438E-5)</f>
        <v>0.00006492979787</v>
      </c>
      <c r="G81" s="69">
        <f>IFERROR(__xludf.DUMMYFUNCTION("""COMPUTED_VALUE"""),8.910872485958556E-5)</f>
        <v>0.00008910872486</v>
      </c>
      <c r="H81" s="69">
        <f>IFERROR(__xludf.DUMMYFUNCTION("""COMPUTED_VALUE"""),1.1159907689806532E-4)</f>
        <v>0.0001115990769</v>
      </c>
      <c r="I81" s="69">
        <f>IFERROR(__xludf.DUMMYFUNCTION("""COMPUTED_VALUE"""),7.701419574691385E-5)</f>
        <v>0.00007701419575</v>
      </c>
      <c r="J81" s="69">
        <f>IFERROR(__xludf.DUMMYFUNCTION("""COMPUTED_VALUE"""),9.132128556855748E-5)</f>
        <v>0.00009132128557</v>
      </c>
      <c r="K81" s="69">
        <f>IFERROR(__xludf.DUMMYFUNCTION("""COMPUTED_VALUE"""),6.0222686654596085E-5)</f>
        <v>0.00006022268665</v>
      </c>
      <c r="L81" s="69">
        <f>IFERROR(__xludf.DUMMYFUNCTION("""COMPUTED_VALUE"""),6.0222686654596085E-5)</f>
        <v>0.00006022268665</v>
      </c>
      <c r="M81" s="69">
        <f>IFERROR(__xludf.DUMMYFUNCTION("""COMPUTED_VALUE"""),9.676747690887717E-5)</f>
        <v>0.00009676747691</v>
      </c>
      <c r="N81" s="69">
        <f>IFERROR(__xludf.DUMMYFUNCTION("""COMPUTED_VALUE"""),7.86913869401685E-5)</f>
        <v>0.00007869138694</v>
      </c>
      <c r="O81" s="69">
        <f>IFERROR(__xludf.DUMMYFUNCTION("""COMPUTED_VALUE"""),7.910713111127411E-5)</f>
        <v>0.00007910713111</v>
      </c>
      <c r="P81" s="69">
        <f>IFERROR(__xludf.DUMMYFUNCTION("""COMPUTED_VALUE"""),7.04197842517085E-5)</f>
        <v>0.00007041978425</v>
      </c>
      <c r="Q81" s="69">
        <f>IFERROR(__xludf.DUMMYFUNCTION("""COMPUTED_VALUE"""),7.992489764129432E-5)</f>
        <v>0.00007992489764</v>
      </c>
      <c r="R81" s="69">
        <f>IFERROR(__xludf.DUMMYFUNCTION("""COMPUTED_VALUE"""),7.992489764129432E-5)</f>
        <v>0.00007992489764</v>
      </c>
      <c r="S81" s="69">
        <f>IFERROR(__xludf.DUMMYFUNCTION("""COMPUTED_VALUE"""),6.523466701800893E-5)</f>
        <v>0.00006523466702</v>
      </c>
      <c r="T81" s="69">
        <f>IFERROR(__xludf.DUMMYFUNCTION("""COMPUTED_VALUE"""),5.768206426003656E-5)</f>
        <v>0.00005768206426</v>
      </c>
      <c r="U81" s="69">
        <f>IFERROR(__xludf.DUMMYFUNCTION("""COMPUTED_VALUE"""),1.0099064002951857E-4)</f>
        <v>0.00010099064</v>
      </c>
      <c r="V81" s="69">
        <f>IFERROR(__xludf.DUMMYFUNCTION("""COMPUTED_VALUE"""),6.942689824695485E-5)</f>
        <v>0.00006942689825</v>
      </c>
      <c r="W81" s="69">
        <f>IFERROR(__xludf.DUMMYFUNCTION("""COMPUTED_VALUE"""),7.943197365268161E-5)</f>
        <v>0.00007943197365</v>
      </c>
      <c r="X81" s="69">
        <f>IFERROR(__xludf.DUMMYFUNCTION("""COMPUTED_VALUE"""),5.6828198198339724E-5)</f>
        <v>0.0000568281982</v>
      </c>
      <c r="Y81" s="69">
        <f>IFERROR(__xludf.DUMMYFUNCTION("""COMPUTED_VALUE"""),7.139054777310863E-5)</f>
        <v>0.00007139054777</v>
      </c>
      <c r="Z81" s="69">
        <f>IFERROR(__xludf.DUMMYFUNCTION("""COMPUTED_VALUE"""),9.786897988920723E-5)</f>
        <v>0.00009786897989</v>
      </c>
      <c r="AA81" s="69">
        <f>IFERROR(__xludf.DUMMYFUNCTION("""COMPUTED_VALUE"""),8.330570390924672E-5)</f>
        <v>0.00008330570391</v>
      </c>
      <c r="AB81" s="69">
        <f>IFERROR(__xludf.DUMMYFUNCTION("""COMPUTED_VALUE"""),5.768206426003656E-5)</f>
        <v>0.00005768206426</v>
      </c>
      <c r="AC81" s="69">
        <f>IFERROR(__xludf.DUMMYFUNCTION("""COMPUTED_VALUE"""),6.548313596640634E-5)</f>
        <v>0.00006548313597</v>
      </c>
    </row>
    <row r="82" ht="30.0" customHeight="1">
      <c r="A82" s="64" t="str">
        <f>IFERROR(__xludf.DUMMYFUNCTION("""COMPUTED_VALUE"""),"Impact 81事件機率")</f>
        <v>Impact 81事件機率</v>
      </c>
      <c r="B82" s="67" t="str">
        <f t="shared" si="1"/>
        <v>0.009%</v>
      </c>
      <c r="C82" s="70">
        <f>IFERROR(__xludf.DUMMYFUNCTION("""COMPUTED_VALUE"""),1.399376752796271E-4)</f>
        <v>0.0001399376753</v>
      </c>
      <c r="D82" s="70">
        <f>IFERROR(__xludf.DUMMYFUNCTION("""COMPUTED_VALUE"""),8.69272163352271E-5)</f>
        <v>0.00008692721634</v>
      </c>
      <c r="E82" s="70">
        <f>IFERROR(__xludf.DUMMYFUNCTION("""COMPUTED_VALUE"""),1.0395712728880144E-4)</f>
        <v>0.0001039571273</v>
      </c>
      <c r="F82" s="70">
        <f>IFERROR(__xludf.DUMMYFUNCTION("""COMPUTED_VALUE"""),7.106957559850416E-5)</f>
        <v>0.0000710695756</v>
      </c>
      <c r="G82" s="70">
        <f>IFERROR(__xludf.DUMMYFUNCTION("""COMPUTED_VALUE"""),9.767939253289632E-5)</f>
        <v>0.00009767939253</v>
      </c>
      <c r="H82" s="70">
        <f>IFERROR(__xludf.DUMMYFUNCTION("""COMPUTED_VALUE"""),1.220887947668795E-4)</f>
        <v>0.0001220887948</v>
      </c>
      <c r="I82" s="70">
        <f>IFERROR(__xludf.DUMMYFUNCTION("""COMPUTED_VALUE"""),8.435959732275519E-5)</f>
        <v>0.00008435959732</v>
      </c>
      <c r="J82" s="70">
        <f>IFERROR(__xludf.DUMMYFUNCTION("""COMPUTED_VALUE"""),9.989847075712545E-5)</f>
        <v>0.00009989847076</v>
      </c>
      <c r="K82" s="70">
        <f>IFERROR(__xludf.DUMMYFUNCTION("""COMPUTED_VALUE"""),6.630140617599104E-5)</f>
        <v>0.00006630140618</v>
      </c>
      <c r="L82" s="70">
        <f>IFERROR(__xludf.DUMMYFUNCTION("""COMPUTED_VALUE"""),6.630140617599104E-5)</f>
        <v>0.00006630140618</v>
      </c>
      <c r="M82" s="70">
        <f>IFERROR(__xludf.DUMMYFUNCTION("""COMPUTED_VALUE"""),1.0613730692067233E-4)</f>
        <v>0.0001061373069</v>
      </c>
      <c r="N82" s="70">
        <f>IFERROR(__xludf.DUMMYFUNCTION("""COMPUTED_VALUE"""),8.65681875683027E-5)</f>
        <v>0.00008656818757</v>
      </c>
      <c r="O82" s="70">
        <f>IFERROR(__xludf.DUMMYFUNCTION("""COMPUTED_VALUE"""),8.689812505468653E-5)</f>
        <v>0.00008689812505</v>
      </c>
      <c r="P82" s="70">
        <f>IFERROR(__xludf.DUMMYFUNCTION("""COMPUTED_VALUE"""),7.757856665312105E-5)</f>
        <v>0.00007757856665</v>
      </c>
      <c r="Q82" s="70">
        <f>IFERROR(__xludf.DUMMYFUNCTION("""COMPUTED_VALUE"""),8.782616030892362E-5)</f>
        <v>0.00008782616031</v>
      </c>
      <c r="R82" s="70">
        <f>IFERROR(__xludf.DUMMYFUNCTION("""COMPUTED_VALUE"""),8.782616030892362E-5)</f>
        <v>0.00008782616031</v>
      </c>
      <c r="S82" s="70">
        <f>IFERROR(__xludf.DUMMYFUNCTION("""COMPUTED_VALUE"""),7.170480550761034E-5)</f>
        <v>0.00007170480551</v>
      </c>
      <c r="T82" s="70">
        <f>IFERROR(__xludf.DUMMYFUNCTION("""COMPUTED_VALUE"""),6.332657765636825E-5)</f>
        <v>0.00006332657766</v>
      </c>
      <c r="U82" s="70">
        <f>IFERROR(__xludf.DUMMYFUNCTION("""COMPUTED_VALUE"""),1.1081629086507313E-4)</f>
        <v>0.0001108162909</v>
      </c>
      <c r="V82" s="70">
        <f>IFERROR(__xludf.DUMMYFUNCTION("""COMPUTED_VALUE"""),7.59827869457552E-5)</f>
        <v>0.00007598278695</v>
      </c>
      <c r="W82" s="70">
        <f>IFERROR(__xludf.DUMMYFUNCTION("""COMPUTED_VALUE"""),8.70052907744605E-5)</f>
        <v>0.00008700529077</v>
      </c>
      <c r="X82" s="70">
        <f>IFERROR(__xludf.DUMMYFUNCTION("""COMPUTED_VALUE"""),6.218255987611591E-5)</f>
        <v>0.00006218255988</v>
      </c>
      <c r="Y82" s="70">
        <f>IFERROR(__xludf.DUMMYFUNCTION("""COMPUTED_VALUE"""),7.831360868461754E-5)</f>
        <v>0.00007831360868</v>
      </c>
      <c r="Z82" s="70">
        <f>IFERROR(__xludf.DUMMYFUNCTION("""COMPUTED_VALUE"""),1.0704632251191503E-4)</f>
        <v>0.0001070463225</v>
      </c>
      <c r="AA82" s="70">
        <f>IFERROR(__xludf.DUMMYFUNCTION("""COMPUTED_VALUE"""),9.167701540058154E-5)</f>
        <v>0.0000916770154</v>
      </c>
      <c r="AB82" s="70">
        <f>IFERROR(__xludf.DUMMYFUNCTION("""COMPUTED_VALUE"""),6.332657765636825E-5)</f>
        <v>0.00006332657766</v>
      </c>
      <c r="AC82" s="70">
        <f>IFERROR(__xludf.DUMMYFUNCTION("""COMPUTED_VALUE"""),7.182450956579959E-5)</f>
        <v>0.00007182450957</v>
      </c>
    </row>
    <row r="83" ht="30.0" customHeight="1">
      <c r="A83" s="64" t="str">
        <f>IFERROR(__xludf.DUMMYFUNCTION("""COMPUTED_VALUE"""),"Impact 82事件機率")</f>
        <v>Impact 82事件機率</v>
      </c>
      <c r="B83" s="67" t="str">
        <f t="shared" si="1"/>
        <v>9.281%</v>
      </c>
      <c r="C83" s="69">
        <f>IFERROR(__xludf.DUMMYFUNCTION("""COMPUTED_VALUE"""),0.09513039800498964)</f>
        <v>0.095130398</v>
      </c>
      <c r="D83" s="69">
        <f>IFERROR(__xludf.DUMMYFUNCTION("""COMPUTED_VALUE"""),0.10512477623050538)</f>
        <v>0.1051247762</v>
      </c>
      <c r="E83" s="69">
        <f>IFERROR(__xludf.DUMMYFUNCTION("""COMPUTED_VALUE"""),0.09513039800498964)</f>
        <v>0.095130398</v>
      </c>
      <c r="F83" s="69">
        <f>IFERROR(__xludf.DUMMYFUNCTION("""COMPUTED_VALUE"""),0.10512477623050538)</f>
        <v>0.1051247762</v>
      </c>
      <c r="G83" s="69">
        <f>IFERROR(__xludf.DUMMYFUNCTION("""COMPUTED_VALUE"""),0.10034796646482785)</f>
        <v>0.1003479665</v>
      </c>
      <c r="H83" s="69">
        <f>IFERROR(__xludf.DUMMYFUNCTION("""COMPUTED_VALUE"""),0.09511289277998079)</f>
        <v>0.09511289278</v>
      </c>
      <c r="I83" s="69">
        <f>IFERROR(__xludf.DUMMYFUNCTION("""COMPUTED_VALUE"""),0.10514412411077834)</f>
        <v>0.1051441241</v>
      </c>
      <c r="J83" s="69">
        <f>IFERROR(__xludf.DUMMYFUNCTION("""COMPUTED_VALUE"""),0.09511289277998079)</f>
        <v>0.09511289278</v>
      </c>
      <c r="K83" s="69">
        <f>IFERROR(__xludf.DUMMYFUNCTION("""COMPUTED_VALUE"""),0.10472271329689059)</f>
        <v>0.1047227133</v>
      </c>
      <c r="L83" s="69">
        <f>IFERROR(__xludf.DUMMYFUNCTION("""COMPUTED_VALUE"""),0.10472271329689059)</f>
        <v>0.1047227133</v>
      </c>
      <c r="M83" s="69">
        <f>IFERROR(__xludf.DUMMYFUNCTION("""COMPUTED_VALUE"""),0.09513039800498964)</f>
        <v>0.095130398</v>
      </c>
      <c r="N83" s="69">
        <f>IFERROR(__xludf.DUMMYFUNCTION("""COMPUTED_VALUE"""),0.10512477623050538)</f>
        <v>0.1051247762</v>
      </c>
      <c r="O83" s="69">
        <f>IFERROR(__xludf.DUMMYFUNCTION("""COMPUTED_VALUE"""),0.09513039800498964)</f>
        <v>0.095130398</v>
      </c>
      <c r="P83" s="69">
        <f>IFERROR(__xludf.DUMMYFUNCTION("""COMPUTED_VALUE"""),0.09567588772642746)</f>
        <v>0.09567588773</v>
      </c>
      <c r="Q83" s="69">
        <f>IFERROR(__xludf.DUMMYFUNCTION("""COMPUTED_VALUE"""),0.0886179921874002)</f>
        <v>0.08861799219</v>
      </c>
      <c r="R83" s="69">
        <f>IFERROR(__xludf.DUMMYFUNCTION("""COMPUTED_VALUE"""),0.0886179921874002)</f>
        <v>0.08861799219</v>
      </c>
      <c r="S83" s="69">
        <f>IFERROR(__xludf.DUMMYFUNCTION("""COMPUTED_VALUE"""),0.0886179921874002)</f>
        <v>0.08861799219</v>
      </c>
      <c r="T83" s="69">
        <f>IFERROR(__xludf.DUMMYFUNCTION("""COMPUTED_VALUE"""),0.08016342958373042)</f>
        <v>0.08016342958</v>
      </c>
      <c r="U83" s="69">
        <f>IFERROR(__xludf.DUMMYFUNCTION("""COMPUTED_VALUE"""),0.08112139066427453)</f>
        <v>0.08112139066</v>
      </c>
      <c r="V83" s="69">
        <f>IFERROR(__xludf.DUMMYFUNCTION("""COMPUTED_VALUE"""),0.0886016853293863)</f>
        <v>0.08860168533</v>
      </c>
      <c r="W83" s="69">
        <f>IFERROR(__xludf.DUMMYFUNCTION("""COMPUTED_VALUE"""),0.08017818340764774)</f>
        <v>0.08017818341</v>
      </c>
      <c r="X83" s="69">
        <f>IFERROR(__xludf.DUMMYFUNCTION("""COMPUTED_VALUE"""),0.0886016853293863)</f>
        <v>0.08860168533</v>
      </c>
      <c r="Y83" s="69">
        <f>IFERROR(__xludf.DUMMYFUNCTION("""COMPUTED_VALUE"""),0.08363246811665863)</f>
        <v>0.08363246812</v>
      </c>
      <c r="Z83" s="69">
        <f>IFERROR(__xludf.DUMMYFUNCTION("""COMPUTED_VALUE"""),0.08016342958373042)</f>
        <v>0.08016342958</v>
      </c>
      <c r="AA83" s="69">
        <f>IFERROR(__xludf.DUMMYFUNCTION("""COMPUTED_VALUE"""),0.0886179921874002)</f>
        <v>0.08861799219</v>
      </c>
      <c r="AB83" s="69">
        <f>IFERROR(__xludf.DUMMYFUNCTION("""COMPUTED_VALUE"""),0.08016342958373042)</f>
        <v>0.08016342958</v>
      </c>
      <c r="AC83" s="69">
        <f>IFERROR(__xludf.DUMMYFUNCTION("""COMPUTED_VALUE"""),0.0886179921874002)</f>
        <v>0.08861799219</v>
      </c>
    </row>
    <row r="84" ht="30.0" customHeight="1">
      <c r="A84" s="64" t="str">
        <f>IFERROR(__xludf.DUMMYFUNCTION("""COMPUTED_VALUE"""),"Impact 83事件機率")</f>
        <v>Impact 83事件機率</v>
      </c>
      <c r="B84" s="67" t="str">
        <f t="shared" si="1"/>
        <v>3.804%</v>
      </c>
      <c r="C84" s="70">
        <f>IFERROR(__xludf.DUMMYFUNCTION("""COMPUTED_VALUE"""),0.042367230774531285)</f>
        <v>0.04236723077</v>
      </c>
      <c r="D84" s="70">
        <f>IFERROR(__xludf.DUMMYFUNCTION("""COMPUTED_VALUE"""),0.03535291487498042)</f>
        <v>0.03535291487</v>
      </c>
      <c r="E84" s="70">
        <f>IFERROR(__xludf.DUMMYFUNCTION("""COMPUTED_VALUE"""),0.045758931983554296)</f>
        <v>0.04575893198</v>
      </c>
      <c r="F84" s="70">
        <f>IFERROR(__xludf.DUMMYFUNCTION("""COMPUTED_VALUE"""),0.03907427433550452)</f>
        <v>0.03907427434</v>
      </c>
      <c r="G84" s="70">
        <f>IFERROR(__xludf.DUMMYFUNCTION("""COMPUTED_VALUE"""),0.040851884775936445)</f>
        <v>0.04085188478</v>
      </c>
      <c r="H84" s="70">
        <f>IFERROR(__xludf.DUMMYFUNCTION("""COMPUTED_VALUE"""),0.0423594346554856)</f>
        <v>0.04235943466</v>
      </c>
      <c r="I84" s="70">
        <f>IFERROR(__xludf.DUMMYFUNCTION("""COMPUTED_VALUE"""),0.03640740953833285)</f>
        <v>0.03640740954</v>
      </c>
      <c r="J84" s="70">
        <f>IFERROR(__xludf.DUMMYFUNCTION("""COMPUTED_VALUE"""),0.04681832251395759)</f>
        <v>0.04681832251</v>
      </c>
      <c r="K84" s="70">
        <f>IFERROR(__xludf.DUMMYFUNCTION("""COMPUTED_VALUE"""),0.03921974172020662)</f>
        <v>0.03921974172</v>
      </c>
      <c r="L84" s="70">
        <f>IFERROR(__xludf.DUMMYFUNCTION("""COMPUTED_VALUE"""),0.03921974172020662)</f>
        <v>0.03921974172</v>
      </c>
      <c r="M84" s="70">
        <f>IFERROR(__xludf.DUMMYFUNCTION("""COMPUTED_VALUE"""),0.042367230774531285)</f>
        <v>0.04236723077</v>
      </c>
      <c r="N84" s="70">
        <f>IFERROR(__xludf.DUMMYFUNCTION("""COMPUTED_VALUE"""),0.037975403061063555)</f>
        <v>0.03797540306</v>
      </c>
      <c r="O84" s="70">
        <f>IFERROR(__xludf.DUMMYFUNCTION("""COMPUTED_VALUE"""),0.04682693927711335)</f>
        <v>0.04682693928</v>
      </c>
      <c r="P84" s="70">
        <f>IFERROR(__xludf.DUMMYFUNCTION("""COMPUTED_VALUE"""),0.046177190461034835)</f>
        <v>0.04617719046</v>
      </c>
      <c r="Q84" s="70">
        <f>IFERROR(__xludf.DUMMYFUNCTION("""COMPUTED_VALUE"""),0.029801769350009083)</f>
        <v>0.02980176935</v>
      </c>
      <c r="R84" s="70">
        <f>IFERROR(__xludf.DUMMYFUNCTION("""COMPUTED_VALUE"""),0.029801769350009083)</f>
        <v>0.02980176935</v>
      </c>
      <c r="S84" s="70">
        <f>IFERROR(__xludf.DUMMYFUNCTION("""COMPUTED_VALUE"""),0.03293879770264152)</f>
        <v>0.0329387977</v>
      </c>
      <c r="T84" s="70">
        <f>IFERROR(__xludf.DUMMYFUNCTION("""COMPUTED_VALUE"""),0.039459606267658105)</f>
        <v>0.03945960627</v>
      </c>
      <c r="U84" s="70">
        <f>IFERROR(__xludf.DUMMYFUNCTION("""COMPUTED_VALUE"""),0.0353986283608971)</f>
        <v>0.03539862836</v>
      </c>
      <c r="V84" s="70">
        <f>IFERROR(__xludf.DUMMYFUNCTION("""COMPUTED_VALUE"""),0.029796285438566744)</f>
        <v>0.02979628544</v>
      </c>
      <c r="W84" s="70">
        <f>IFERROR(__xludf.DUMMYFUNCTION("""COMPUTED_VALUE"""),0.03814666013922741)</f>
        <v>0.03814666014</v>
      </c>
      <c r="X84" s="70">
        <f>IFERROR(__xludf.DUMMYFUNCTION("""COMPUTED_VALUE"""),0.03293273653736315)</f>
        <v>0.03293273654</v>
      </c>
      <c r="Y84" s="70">
        <f>IFERROR(__xludf.DUMMYFUNCTION("""COMPUTED_VALUE"""),0.035511091282036895)</f>
        <v>0.03551109128</v>
      </c>
      <c r="Z84" s="70">
        <f>IFERROR(__xludf.DUMMYFUNCTION("""COMPUTED_VALUE"""),0.035701548527881106)</f>
        <v>0.03570154853</v>
      </c>
      <c r="AA84" s="70">
        <f>IFERROR(__xludf.DUMMYFUNCTION("""COMPUTED_VALUE"""),0.03033445414885389)</f>
        <v>0.03033445415</v>
      </c>
      <c r="AB84" s="70">
        <f>IFERROR(__xludf.DUMMYFUNCTION("""COMPUTED_VALUE"""),0.039459606267658105)</f>
        <v>0.03945960627</v>
      </c>
      <c r="AC84" s="70">
        <f>IFERROR(__xludf.DUMMYFUNCTION("""COMPUTED_VALUE"""),0.03293879770264152)</f>
        <v>0.0329387977</v>
      </c>
    </row>
    <row r="85" ht="30.0" customHeight="1">
      <c r="A85" s="64" t="str">
        <f>IFERROR(__xludf.DUMMYFUNCTION("""COMPUTED_VALUE"""),"Impact 84事件機率")</f>
        <v>Impact 84事件機率</v>
      </c>
      <c r="B85" s="67" t="str">
        <f t="shared" si="1"/>
        <v>1.034%</v>
      </c>
      <c r="C85" s="69">
        <f>IFERROR(__xludf.DUMMYFUNCTION("""COMPUTED_VALUE"""),0.013289366146058702)</f>
        <v>0.01328936615</v>
      </c>
      <c r="D85" s="69">
        <f>IFERROR(__xludf.DUMMYFUNCTION("""COMPUTED_VALUE"""),0.01211681126327025)</f>
        <v>0.01211681126</v>
      </c>
      <c r="E85" s="69">
        <f>IFERROR(__xludf.DUMMYFUNCTION("""COMPUTED_VALUE"""),0.011144109574594774)</f>
        <v>0.01114410957</v>
      </c>
      <c r="F85" s="69">
        <f>IFERROR(__xludf.DUMMYFUNCTION("""COMPUTED_VALUE"""),0.008932318400412073)</f>
        <v>0.0089323184</v>
      </c>
      <c r="G85" s="69">
        <f>IFERROR(__xludf.DUMMYFUNCTION("""COMPUTED_VALUE"""),0.011087614487163609)</f>
        <v>0.01108761449</v>
      </c>
      <c r="H85" s="69">
        <f>IFERROR(__xludf.DUMMYFUNCTION("""COMPUTED_VALUE"""),0.013848211027062539)</f>
        <v>0.01384821103</v>
      </c>
      <c r="I85" s="69">
        <f>IFERROR(__xludf.DUMMYFUNCTION("""COMPUTED_VALUE"""),0.011163628737485179)</f>
        <v>0.01116362874</v>
      </c>
      <c r="J85" s="69">
        <f>IFERROR(__xludf.DUMMYFUNCTION("""COMPUTED_VALUE"""),0.010197012299592802)</f>
        <v>0.0101970123</v>
      </c>
      <c r="K85" s="69">
        <f>IFERROR(__xludf.DUMMYFUNCTION("""COMPUTED_VALUE"""),0.009420352570830726)</f>
        <v>0.009420352571</v>
      </c>
      <c r="L85" s="69">
        <f>IFERROR(__xludf.DUMMYFUNCTION("""COMPUTED_VALUE"""),0.009420352570830726)</f>
        <v>0.009420352571</v>
      </c>
      <c r="M85" s="69">
        <f>IFERROR(__xludf.DUMMYFUNCTION("""COMPUTED_VALUE"""),0.01444257808974907)</f>
        <v>0.01444257809</v>
      </c>
      <c r="N85" s="69">
        <f>IFERROR(__xludf.DUMMYFUNCTION("""COMPUTED_VALUE"""),0.009516108810557082)</f>
        <v>0.009516108811</v>
      </c>
      <c r="O85" s="69">
        <f>IFERROR(__xludf.DUMMYFUNCTION("""COMPUTED_VALUE"""),0.010645519281547942)</f>
        <v>0.01064551928</v>
      </c>
      <c r="P85" s="69">
        <f>IFERROR(__xludf.DUMMYFUNCTION("""COMPUTED_VALUE"""),0.01108232977489856)</f>
        <v>0.01108232977</v>
      </c>
      <c r="Q85" s="69">
        <f>IFERROR(__xludf.DUMMYFUNCTION("""COMPUTED_VALUE"""),0.009687841819079928)</f>
        <v>0.009687841819</v>
      </c>
      <c r="R85" s="69">
        <f>IFERROR(__xludf.DUMMYFUNCTION("""COMPUTED_VALUE"""),0.009687841819079928)</f>
        <v>0.009687841819</v>
      </c>
      <c r="S85" s="69">
        <f>IFERROR(__xludf.DUMMYFUNCTION("""COMPUTED_VALUE"""),0.007132588616266751)</f>
        <v>0.007132588616</v>
      </c>
      <c r="T85" s="69">
        <f>IFERROR(__xludf.DUMMYFUNCTION("""COMPUTED_VALUE"""),0.009339882438681193)</f>
        <v>0.009339882439</v>
      </c>
      <c r="U85" s="69">
        <f>IFERROR(__xludf.DUMMYFUNCTION("""COMPUTED_VALUE"""),0.010820158804597852)</f>
        <v>0.0108201588</v>
      </c>
      <c r="V85" s="69">
        <f>IFERROR(__xludf.DUMMYFUNCTION("""COMPUTED_VALUE"""),0.01010237123227002)</f>
        <v>0.01010237123</v>
      </c>
      <c r="W85" s="69">
        <f>IFERROR(__xludf.DUMMYFUNCTION("""COMPUTED_VALUE"""),0.009831468847853563)</f>
        <v>0.009831468848</v>
      </c>
      <c r="X85" s="69">
        <f>IFERROR(__xludf.DUMMYFUNCTION("""COMPUTED_VALUE"""),0.007445390835153444)</f>
        <v>0.007445390835</v>
      </c>
      <c r="Y85" s="69">
        <f>IFERROR(__xludf.DUMMYFUNCTION("""COMPUTED_VALUE"""),0.009344198535334407)</f>
        <v>0.009344198535</v>
      </c>
      <c r="Z85" s="69">
        <f>IFERROR(__xludf.DUMMYFUNCTION("""COMPUTED_VALUE"""),0.011539842153851992)</f>
        <v>0.01153984215</v>
      </c>
      <c r="AA85" s="69">
        <f>IFERROR(__xludf.DUMMYFUNCTION("""COMPUTED_VALUE"""),0.009037074609658547)</f>
        <v>0.00903707461</v>
      </c>
      <c r="AB85" s="69">
        <f>IFERROR(__xludf.DUMMYFUNCTION("""COMPUTED_VALUE"""),0.009339882438681193)</f>
        <v>0.009339882439</v>
      </c>
      <c r="AC85" s="69">
        <f>IFERROR(__xludf.DUMMYFUNCTION("""COMPUTED_VALUE"""),0.007136904515770234)</f>
        <v>0.007136904516</v>
      </c>
    </row>
    <row r="86" ht="30.0" customHeight="1">
      <c r="A86" s="64" t="str">
        <f>IFERROR(__xludf.DUMMYFUNCTION("""COMPUTED_VALUE"""),"Impact 85事件機率")</f>
        <v>Impact 85事件機率</v>
      </c>
      <c r="B86" s="67" t="str">
        <f t="shared" si="1"/>
        <v>0.063%</v>
      </c>
      <c r="C86" s="70">
        <f>IFERROR(__xludf.DUMMYFUNCTION("""COMPUTED_VALUE"""),0.001000618175351179)</f>
        <v>0.001000618175</v>
      </c>
      <c r="D86" s="70">
        <f>IFERROR(__xludf.DUMMYFUNCTION("""COMPUTED_VALUE"""),6.299188455389825E-4)</f>
        <v>0.0006299188455</v>
      </c>
      <c r="E86" s="70">
        <f>IFERROR(__xludf.DUMMYFUNCTION("""COMPUTED_VALUE"""),7.459648221532103E-4)</f>
        <v>0.0007459648222</v>
      </c>
      <c r="F86" s="70">
        <f>IFERROR(__xludf.DUMMYFUNCTION("""COMPUTED_VALUE"""),5.213318101749469E-4)</f>
        <v>0.0005213318102</v>
      </c>
      <c r="G86" s="70">
        <f>IFERROR(__xludf.DUMMYFUNCTION("""COMPUTED_VALUE"""),6.884290801080084E-4)</f>
        <v>0.0006884290801</v>
      </c>
      <c r="H86" s="70">
        <f>IFERROR(__xludf.DUMMYFUNCTION("""COMPUTED_VALUE"""),8.962743454018998E-4)</f>
        <v>0.0008962743454</v>
      </c>
      <c r="I86" s="70">
        <f>IFERROR(__xludf.DUMMYFUNCTION("""COMPUTED_VALUE"""),6.074097081447193E-4)</f>
        <v>0.0006074097081</v>
      </c>
      <c r="J86" s="70">
        <f>IFERROR(__xludf.DUMMYFUNCTION("""COMPUTED_VALUE"""),7.276282504742052E-4)</f>
        <v>0.0007276282505</v>
      </c>
      <c r="K86" s="70">
        <f>IFERROR(__xludf.DUMMYFUNCTION("""COMPUTED_VALUE"""),4.725578709138503E-4)</f>
        <v>0.0004725578709</v>
      </c>
      <c r="L86" s="70">
        <f>IFERROR(__xludf.DUMMYFUNCTION("""COMPUTED_VALUE"""),4.725578709138503E-4)</f>
        <v>0.0004725578709</v>
      </c>
      <c r="M86" s="70">
        <f>IFERROR(__xludf.DUMMYFUNCTION("""COMPUTED_VALUE"""),7.726667917222112E-4)</f>
        <v>0.0007726667917</v>
      </c>
      <c r="N86" s="70">
        <f>IFERROR(__xludf.DUMMYFUNCTION("""COMPUTED_VALUE"""),6.204471998954622E-4)</f>
        <v>0.0006204471999</v>
      </c>
      <c r="O86" s="70">
        <f>IFERROR(__xludf.DUMMYFUNCTION("""COMPUTED_VALUE"""),6.379709782714277E-4)</f>
        <v>0.0006379709783</v>
      </c>
      <c r="P86" s="70">
        <f>IFERROR(__xludf.DUMMYFUNCTION("""COMPUTED_VALUE"""),5.565149913803479E-4)</f>
        <v>0.0005565149914</v>
      </c>
      <c r="Q86" s="70">
        <f>IFERROR(__xludf.DUMMYFUNCTION("""COMPUTED_VALUE"""),6.431897620545015E-4)</f>
        <v>0.0006431897621</v>
      </c>
      <c r="R86" s="70">
        <f>IFERROR(__xludf.DUMMYFUNCTION("""COMPUTED_VALUE"""),6.431897620545015E-4)</f>
        <v>0.0006431897621</v>
      </c>
      <c r="S86" s="70">
        <f>IFERROR(__xludf.DUMMYFUNCTION("""COMPUTED_VALUE"""),5.207405462293442E-4)</f>
        <v>0.0005207405462</v>
      </c>
      <c r="T86" s="70">
        <f>IFERROR(__xludf.DUMMYFUNCTION("""COMPUTED_VALUE"""),4.551062118365714E-4)</f>
        <v>0.0004551062118</v>
      </c>
      <c r="U86" s="70">
        <f>IFERROR(__xludf.DUMMYFUNCTION("""COMPUTED_VALUE"""),7.836047926993075E-4)</f>
        <v>0.0007836047927</v>
      </c>
      <c r="V86" s="70">
        <f>IFERROR(__xludf.DUMMYFUNCTION("""COMPUTED_VALUE"""),5.552227194190567E-4)</f>
        <v>0.0005552227194</v>
      </c>
      <c r="W86" s="70">
        <f>IFERROR(__xludf.DUMMYFUNCTION("""COMPUTED_VALUE"""),6.246515455300189E-4)</f>
        <v>0.0006246515455</v>
      </c>
      <c r="X86" s="70">
        <f>IFERROR(__xludf.DUMMYFUNCTION("""COMPUTED_VALUE"""),4.5675817146312493E-4)</f>
        <v>0.0004567581715</v>
      </c>
      <c r="Y86" s="70">
        <f>IFERROR(__xludf.DUMMYFUNCTION("""COMPUTED_VALUE"""),5.50153497525686E-4)</f>
        <v>0.0005501534975</v>
      </c>
      <c r="Z86" s="70">
        <f>IFERROR(__xludf.DUMMYFUNCTION("""COMPUTED_VALUE"""),7.833641562255786E-4)</f>
        <v>0.0007833641562</v>
      </c>
      <c r="AA86" s="70">
        <f>IFERROR(__xludf.DUMMYFUNCTION("""COMPUTED_VALUE"""),6.660447205983364E-4)</f>
        <v>0.0006660447206</v>
      </c>
      <c r="AB86" s="70">
        <f>IFERROR(__xludf.DUMMYFUNCTION("""COMPUTED_VALUE"""),4.551062118365714E-4)</f>
        <v>0.0004551062118</v>
      </c>
      <c r="AC86" s="70">
        <f>IFERROR(__xludf.DUMMYFUNCTION("""COMPUTED_VALUE"""),5.117138264622114E-4)</f>
        <v>0.0005117138265</v>
      </c>
    </row>
    <row r="87" ht="30.0" customHeight="1">
      <c r="A87" s="64" t="str">
        <f>IFERROR(__xludf.DUMMYFUNCTION("""COMPUTED_VALUE"""),"Impact 86事件機率")</f>
        <v>Impact 86事件機率</v>
      </c>
      <c r="B87" s="67" t="str">
        <f t="shared" si="1"/>
        <v>0.043%</v>
      </c>
      <c r="C87" s="69">
        <f>IFERROR(__xludf.DUMMYFUNCTION("""COMPUTED_VALUE"""),6.804517844938465E-4)</f>
        <v>0.0006804517845</v>
      </c>
      <c r="D87" s="69">
        <f>IFERROR(__xludf.DUMMYFUNCTION("""COMPUTED_VALUE"""),4.2411748070611733E-4)</f>
        <v>0.0004241174807</v>
      </c>
      <c r="E87" s="69">
        <f>IFERROR(__xludf.DUMMYFUNCTION("""COMPUTED_VALUE"""),5.050821347360358E-4)</f>
        <v>0.0005050821347</v>
      </c>
      <c r="F87" s="69">
        <f>IFERROR(__xludf.DUMMYFUNCTION("""COMPUTED_VALUE"""),3.527262707237066E-4)</f>
        <v>0.0003527262707</v>
      </c>
      <c r="G87" s="69">
        <f>IFERROR(__xludf.DUMMYFUNCTION("""COMPUTED_VALUE"""),4.660291120265797E-4)</f>
        <v>0.000466029112</v>
      </c>
      <c r="H87" s="69">
        <f>IFERROR(__xludf.DUMMYFUNCTION("""COMPUTED_VALUE"""),6.068892166381045E-4)</f>
        <v>0.0006068892166</v>
      </c>
      <c r="I87" s="69">
        <f>IFERROR(__xludf.DUMMYFUNCTION("""COMPUTED_VALUE"""),4.108152248072452E-4)</f>
        <v>0.0004108152248</v>
      </c>
      <c r="J87" s="69">
        <f>IFERROR(__xludf.DUMMYFUNCTION("""COMPUTED_VALUE"""),4.930596804030349E-4)</f>
        <v>0.0004930596804</v>
      </c>
      <c r="K87" s="69">
        <f>IFERROR(__xludf.DUMMYFUNCTION("""COMPUTED_VALUE"""),3.2141662499587985E-4)</f>
        <v>0.000321416625</v>
      </c>
      <c r="L87" s="69">
        <f>IFERROR(__xludf.DUMMYFUNCTION("""COMPUTED_VALUE"""),3.2141662499587985E-4)</f>
        <v>0.000321416625</v>
      </c>
      <c r="M87" s="69">
        <f>IFERROR(__xludf.DUMMYFUNCTION("""COMPUTED_VALUE"""),5.2030884779373E-4)</f>
        <v>0.0005203088478</v>
      </c>
      <c r="N87" s="69">
        <f>IFERROR(__xludf.DUMMYFUNCTION("""COMPUTED_VALUE"""),4.2194618669826213E-4)</f>
        <v>0.0004219461867</v>
      </c>
      <c r="O87" s="69">
        <f>IFERROR(__xludf.DUMMYFUNCTION("""COMPUTED_VALUE"""),4.298254481799428E-4)</f>
        <v>0.0004298254482</v>
      </c>
      <c r="P87" s="69">
        <f>IFERROR(__xludf.DUMMYFUNCTION("""COMPUTED_VALUE"""),3.776855775288012E-4)</f>
        <v>0.0003776855775</v>
      </c>
      <c r="Q87" s="69">
        <f>IFERROR(__xludf.DUMMYFUNCTION("""COMPUTED_VALUE"""),4.332783603295119E-4)</f>
        <v>0.0004332783603</v>
      </c>
      <c r="R87" s="69">
        <f>IFERROR(__xludf.DUMMYFUNCTION("""COMPUTED_VALUE"""),4.332783603295119E-4)</f>
        <v>0.0004332783603</v>
      </c>
      <c r="S87" s="69">
        <f>IFERROR(__xludf.DUMMYFUNCTION("""COMPUTED_VALUE"""),3.509637770340279E-4)</f>
        <v>0.000350963777</v>
      </c>
      <c r="T87" s="69">
        <f>IFERROR(__xludf.DUMMYFUNCTION("""COMPUTED_VALUE"""),3.088708148184238E-4)</f>
        <v>0.0003088708148</v>
      </c>
      <c r="U87" s="69">
        <f>IFERROR(__xludf.DUMMYFUNCTION("""COMPUTED_VALUE"""),5.369035285069356E-4)</f>
        <v>0.0005369035285</v>
      </c>
      <c r="V87" s="69">
        <f>IFERROR(__xludf.DUMMYFUNCTION("""COMPUTED_VALUE"""),3.749722897174803E-4)</f>
        <v>0.0003749722897</v>
      </c>
      <c r="W87" s="69">
        <f>IFERROR(__xludf.DUMMYFUNCTION("""COMPUTED_VALUE"""),4.249623214600345E-4)</f>
        <v>0.0004249623215</v>
      </c>
      <c r="X87" s="69">
        <f>IFERROR(__xludf.DUMMYFUNCTION("""COMPUTED_VALUE"""),3.084761040447587E-4)</f>
        <v>0.000308476104</v>
      </c>
      <c r="Y87" s="69">
        <f>IFERROR(__xludf.DUMMYFUNCTION("""COMPUTED_VALUE"""),3.759711388737364E-4)</f>
        <v>0.0003759711389</v>
      </c>
      <c r="Z87" s="69">
        <f>IFERROR(__xludf.DUMMYFUNCTION("""COMPUTED_VALUE"""),5.288827399228174E-4)</f>
        <v>0.0005288827399</v>
      </c>
      <c r="AA87" s="69">
        <f>IFERROR(__xludf.DUMMYFUNCTION("""COMPUTED_VALUE"""),4.4882907912284416E-4)</f>
        <v>0.0004488290791</v>
      </c>
      <c r="AB87" s="69">
        <f>IFERROR(__xludf.DUMMYFUNCTION("""COMPUTED_VALUE"""),3.088708148184238E-4)</f>
        <v>0.0003088708148</v>
      </c>
      <c r="AC87" s="69">
        <f>IFERROR(__xludf.DUMMYFUNCTION("""COMPUTED_VALUE"""),3.490257697570203E-4)</f>
        <v>0.0003490257698</v>
      </c>
    </row>
    <row r="88" ht="30.0" customHeight="1">
      <c r="A88" s="64" t="str">
        <f>IFERROR(__xludf.DUMMYFUNCTION("""COMPUTED_VALUE"""),"Impact 87事件機率")</f>
        <v>Impact 87事件機率</v>
      </c>
      <c r="B88" s="67" t="str">
        <f t="shared" si="1"/>
        <v>0.025%</v>
      </c>
      <c r="C88" s="70">
        <f>IFERROR(__xludf.DUMMYFUNCTION("""COMPUTED_VALUE"""),4.0378150596882156E-4)</f>
        <v>0.000403781506</v>
      </c>
      <c r="D88" s="70">
        <f>IFERROR(__xludf.DUMMYFUNCTION("""COMPUTED_VALUE"""),2.5155609161178966E-4)</f>
        <v>0.0002515560916</v>
      </c>
      <c r="E88" s="70">
        <f>IFERROR(__xludf.DUMMYFUNCTION("""COMPUTED_VALUE"""),3.0099879686065935E-4)</f>
        <v>0.0003009987969</v>
      </c>
      <c r="F88" s="70">
        <f>IFERROR(__xludf.DUMMYFUNCTION("""COMPUTED_VALUE"""),2.0741202032226503E-4)</f>
        <v>0.0002074120203</v>
      </c>
      <c r="G88" s="70">
        <f>IFERROR(__xludf.DUMMYFUNCTION("""COMPUTED_VALUE"""),2.762814168570671E-4)</f>
        <v>0.0002762814169</v>
      </c>
      <c r="H88" s="70">
        <f>IFERROR(__xludf.DUMMYFUNCTION("""COMPUTED_VALUE"""),3.6011446796158656E-4)</f>
        <v>0.000360114468</v>
      </c>
      <c r="I88" s="70">
        <f>IFERROR(__xludf.DUMMYFUNCTION("""COMPUTED_VALUE"""),2.4538900106838544E-4)</f>
        <v>0.0002453890011</v>
      </c>
      <c r="J88" s="70">
        <f>IFERROR(__xludf.DUMMYFUNCTION("""COMPUTED_VALUE"""),2.900505152731533E-4)</f>
        <v>0.0002900505153</v>
      </c>
      <c r="K88" s="70">
        <f>IFERROR(__xludf.DUMMYFUNCTION("""COMPUTED_VALUE"""),1.9073697201846436E-4)</f>
        <v>0.000190736972</v>
      </c>
      <c r="L88" s="70">
        <f>IFERROR(__xludf.DUMMYFUNCTION("""COMPUTED_VALUE"""),1.9073697201846436E-4)</f>
        <v>0.000190736972</v>
      </c>
      <c r="M88" s="70">
        <f>IFERROR(__xludf.DUMMYFUNCTION("""COMPUTED_VALUE"""),3.077428485838445E-4)</f>
        <v>0.0003077428486</v>
      </c>
      <c r="N88" s="70">
        <f>IFERROR(__xludf.DUMMYFUNCTION("""COMPUTED_VALUE"""),2.4901540979628116E-4)</f>
        <v>0.0002490154098</v>
      </c>
      <c r="O88" s="70">
        <f>IFERROR(__xludf.DUMMYFUNCTION("""COMPUTED_VALUE"""),2.5369739556705025E-4)</f>
        <v>0.0002536973956</v>
      </c>
      <c r="P88" s="70">
        <f>IFERROR(__xludf.DUMMYFUNCTION("""COMPUTED_VALUE"""),2.2370598790375925E-4)</f>
        <v>0.0002237059879</v>
      </c>
      <c r="Q88" s="70">
        <f>IFERROR(__xludf.DUMMYFUNCTION("""COMPUTED_VALUE"""),2.567764161390031E-4)</f>
        <v>0.0002567764161</v>
      </c>
      <c r="R88" s="70">
        <f>IFERROR(__xludf.DUMMYFUNCTION("""COMPUTED_VALUE"""),2.567764161390031E-4)</f>
        <v>0.0002567764161</v>
      </c>
      <c r="S88" s="70">
        <f>IFERROR(__xludf.DUMMYFUNCTION("""COMPUTED_VALUE"""),2.0711724763614872E-4)</f>
        <v>0.0002071172476</v>
      </c>
      <c r="T88" s="70">
        <f>IFERROR(__xludf.DUMMYFUNCTION("""COMPUTED_VALUE"""),1.8320887020565124E-4)</f>
        <v>0.0001832088702</v>
      </c>
      <c r="U88" s="70">
        <f>IFERROR(__xludf.DUMMYFUNCTION("""COMPUTED_VALUE"""),3.2089095085885725E-4)</f>
        <v>0.0003208909509</v>
      </c>
      <c r="V88" s="70">
        <f>IFERROR(__xludf.DUMMYFUNCTION("""COMPUTED_VALUE"""),2.2094027297002645E-4)</f>
        <v>0.000220940273</v>
      </c>
      <c r="W88" s="70">
        <f>IFERROR(__xludf.DUMMYFUNCTION("""COMPUTED_VALUE"""),2.5127731799206026E-4)</f>
        <v>0.000251277318</v>
      </c>
      <c r="X88" s="70">
        <f>IFERROR(__xludf.DUMMYFUNCTION("""COMPUTED_VALUE"""),1.8278796381766404E-4)</f>
        <v>0.0001827879638</v>
      </c>
      <c r="Y88" s="70">
        <f>IFERROR(__xludf.DUMMYFUNCTION("""COMPUTED_VALUE"""),2.2399620349024585E-4)</f>
        <v>0.0002239962035</v>
      </c>
      <c r="Z88" s="70">
        <f>IFERROR(__xludf.DUMMYFUNCTION("""COMPUTED_VALUE"""),3.128982799425535E-4)</f>
        <v>0.0003128982799</v>
      </c>
      <c r="AA88" s="70">
        <f>IFERROR(__xludf.DUMMYFUNCTION("""COMPUTED_VALUE"""),2.6460951928903285E-4)</f>
        <v>0.0002646095193</v>
      </c>
      <c r="AB88" s="70">
        <f>IFERROR(__xludf.DUMMYFUNCTION("""COMPUTED_VALUE"""),1.8320887020565124E-4)</f>
        <v>0.0001832088702</v>
      </c>
      <c r="AC88" s="70">
        <f>IFERROR(__xludf.DUMMYFUNCTION("""COMPUTED_VALUE"""),2.0811574571369485E-4)</f>
        <v>0.0002081157457</v>
      </c>
    </row>
    <row r="89" ht="30.0" customHeight="1">
      <c r="A89" s="64" t="str">
        <f>IFERROR(__xludf.DUMMYFUNCTION("""COMPUTED_VALUE"""),"Impact 88事件機率")</f>
        <v>Impact 88事件機率</v>
      </c>
      <c r="B89" s="67" t="str">
        <f t="shared" si="1"/>
        <v>0.028%</v>
      </c>
      <c r="C89" s="69">
        <f>IFERROR(__xludf.DUMMYFUNCTION("""COMPUTED_VALUE"""),4.4402712150889436E-4)</f>
        <v>0.0004440271215</v>
      </c>
      <c r="D89" s="69">
        <f>IFERROR(__xludf.DUMMYFUNCTION("""COMPUTED_VALUE"""),2.7614540351053265E-4)</f>
        <v>0.0002761454035</v>
      </c>
      <c r="E89" s="69">
        <f>IFERROR(__xludf.DUMMYFUNCTION("""COMPUTED_VALUE"""),3.301082633380466E-4)</f>
        <v>0.0003301082633</v>
      </c>
      <c r="F89" s="69">
        <f>IFERROR(__xludf.DUMMYFUNCTION("""COMPUTED_VALUE"""),2.2694261419672397E-4)</f>
        <v>0.0002269426142</v>
      </c>
      <c r="G89" s="69">
        <f>IFERROR(__xludf.DUMMYFUNCTION("""COMPUTED_VALUE"""),3.027961105145182E-4)</f>
        <v>0.0003027961105</v>
      </c>
      <c r="H89" s="69">
        <f>IFERROR(__xludf.DUMMYFUNCTION("""COMPUTED_VALUE"""),3.9424709445711793E-4)</f>
        <v>0.0003942470945</v>
      </c>
      <c r="I89" s="69">
        <f>IFERROR(__xludf.DUMMYFUNCTION("""COMPUTED_VALUE"""),2.6888013742006907E-4)</f>
        <v>0.0002688801374</v>
      </c>
      <c r="J89" s="69">
        <f>IFERROR(__xludf.DUMMYFUNCTION("""COMPUTED_VALUE"""),3.1727576019080104E-4)</f>
        <v>0.0003172757602</v>
      </c>
      <c r="K89" s="69">
        <f>IFERROR(__xludf.DUMMYFUNCTION("""COMPUTED_VALUE"""),2.09928174268619E-4)</f>
        <v>0.0002099281743</v>
      </c>
      <c r="L89" s="69">
        <f>IFERROR(__xludf.DUMMYFUNCTION("""COMPUTED_VALUE"""),2.09928174268619E-4)</f>
        <v>0.0002099281743</v>
      </c>
      <c r="M89" s="69">
        <f>IFERROR(__xludf.DUMMYFUNCTION("""COMPUTED_VALUE"""),3.3749240116695865E-4)</f>
        <v>0.0003374924012</v>
      </c>
      <c r="N89" s="69">
        <f>IFERROR(__xludf.DUMMYFUNCTION("""COMPUTED_VALUE"""),2.7404021408685634E-4)</f>
        <v>0.0002740402141</v>
      </c>
      <c r="O89" s="69">
        <f>IFERROR(__xludf.DUMMYFUNCTION("""COMPUTED_VALUE"""),2.7867187756555725E-4)</f>
        <v>0.0002786718776</v>
      </c>
      <c r="P89" s="69">
        <f>IFERROR(__xludf.DUMMYFUNCTION("""COMPUTED_VALUE"""),2.464017646250358E-4)</f>
        <v>0.0002464017646</v>
      </c>
      <c r="Q89" s="69">
        <f>IFERROR(__xludf.DUMMYFUNCTION("""COMPUTED_VALUE"""),2.820947431551457E-4)</f>
        <v>0.0002820947432</v>
      </c>
      <c r="R89" s="69">
        <f>IFERROR(__xludf.DUMMYFUNCTION("""COMPUTED_VALUE"""),2.820947431551457E-4)</f>
        <v>0.0002820947432</v>
      </c>
      <c r="S89" s="69">
        <f>IFERROR(__xludf.DUMMYFUNCTION("""COMPUTED_VALUE"""),2.276785521150162E-4)</f>
        <v>0.0002276785521</v>
      </c>
      <c r="T89" s="69">
        <f>IFERROR(__xludf.DUMMYFUNCTION("""COMPUTED_VALUE"""),2.0116303907538973E-4)</f>
        <v>0.0002011630391</v>
      </c>
      <c r="U89" s="69">
        <f>IFERROR(__xludf.DUMMYFUNCTION("""COMPUTED_VALUE"""),3.521358790230815E-4)</f>
        <v>0.000352135879</v>
      </c>
      <c r="V89" s="69">
        <f>IFERROR(__xludf.DUMMYFUNCTION("""COMPUTED_VALUE"""),2.418492259164249E-4)</f>
        <v>0.0002418492259</v>
      </c>
      <c r="W89" s="69">
        <f>IFERROR(__xludf.DUMMYFUNCTION("""COMPUTED_VALUE"""),2.7515698114185237E-4)</f>
        <v>0.0002751569811</v>
      </c>
      <c r="X89" s="69">
        <f>IFERROR(__xludf.DUMMYFUNCTION("""COMPUTED_VALUE"""),1.9990793732717587E-4)</f>
        <v>0.0001999079373</v>
      </c>
      <c r="Y89" s="69">
        <f>IFERROR(__xludf.DUMMYFUNCTION("""COMPUTED_VALUE"""),2.457167893492319E-4)</f>
        <v>0.0002457167893</v>
      </c>
      <c r="Z89" s="69">
        <f>IFERROR(__xludf.DUMMYFUNCTION("""COMPUTED_VALUE"""),3.424416342465068E-4)</f>
        <v>0.0003424416342</v>
      </c>
      <c r="AA89" s="69">
        <f>IFERROR(__xludf.DUMMYFUNCTION("""COMPUTED_VALUE"""),2.9121837161857943E-4)</f>
        <v>0.0002912183716</v>
      </c>
      <c r="AB89" s="69">
        <f>IFERROR(__xludf.DUMMYFUNCTION("""COMPUTED_VALUE"""),2.0116303907538973E-4)</f>
        <v>0.0002011630391</v>
      </c>
      <c r="AC89" s="69">
        <f>IFERROR(__xludf.DUMMYFUNCTION("""COMPUTED_VALUE"""),2.282910699396358E-4)</f>
        <v>0.0002282910699</v>
      </c>
    </row>
    <row r="90" ht="30.0" customHeight="1">
      <c r="A90" s="64" t="str">
        <f>IFERROR(__xludf.DUMMYFUNCTION("""COMPUTED_VALUE"""),"Impact 89事件機率")</f>
        <v>Impact 89事件機率</v>
      </c>
      <c r="B90" s="67" t="str">
        <f t="shared" si="1"/>
        <v>0.050%</v>
      </c>
      <c r="C90" s="70">
        <f>IFERROR(__xludf.DUMMYFUNCTION("""COMPUTED_VALUE"""),7.921250577558989E-4)</f>
        <v>0.0007921250578</v>
      </c>
      <c r="D90" s="70">
        <f>IFERROR(__xludf.DUMMYFUNCTION("""COMPUTED_VALUE"""),4.952728382734013E-4)</f>
        <v>0.0004952728383</v>
      </c>
      <c r="E90" s="70">
        <f>IFERROR(__xludf.DUMMYFUNCTION("""COMPUTED_VALUE"""),5.921203422048034E-4)</f>
        <v>0.0005921203422</v>
      </c>
      <c r="F90" s="70">
        <f>IFERROR(__xludf.DUMMYFUNCTION("""COMPUTED_VALUE"""),4.061461665528828E-4)</f>
        <v>0.0004061461666</v>
      </c>
      <c r="G90" s="70">
        <f>IFERROR(__xludf.DUMMYFUNCTION("""COMPUTED_VALUE"""),5.567274272352039E-4)</f>
        <v>0.0005567274272</v>
      </c>
      <c r="H90" s="70">
        <f>IFERROR(__xludf.DUMMYFUNCTION("""COMPUTED_VALUE"""),6.966282230859557E-4)</f>
        <v>0.0006966282231</v>
      </c>
      <c r="I90" s="70">
        <f>IFERROR(__xludf.DUMMYFUNCTION("""COMPUTED_VALUE"""),4.799095600820097E-4)</f>
        <v>0.0004799095601</v>
      </c>
      <c r="J90" s="70">
        <f>IFERROR(__xludf.DUMMYFUNCTION("""COMPUTED_VALUE"""),5.67973753540803E-4)</f>
        <v>0.0005679737535</v>
      </c>
      <c r="K90" s="70">
        <f>IFERROR(__xludf.DUMMYFUNCTION("""COMPUTED_VALUE"""),3.738215956393913E-4)</f>
        <v>0.0003738215956</v>
      </c>
      <c r="L90" s="70">
        <f>IFERROR(__xludf.DUMMYFUNCTION("""COMPUTED_VALUE"""),3.738215956393913E-4)</f>
        <v>0.0003738215956</v>
      </c>
      <c r="M90" s="70">
        <f>IFERROR(__xludf.DUMMYFUNCTION("""COMPUTED_VALUE"""),6.060186270603523E-4)</f>
        <v>0.0006060186271</v>
      </c>
      <c r="N90" s="70">
        <f>IFERROR(__xludf.DUMMYFUNCTION("""COMPUTED_VALUE"""),4.921885799425766E-4)</f>
        <v>0.0004921885799</v>
      </c>
      <c r="O90" s="70">
        <f>IFERROR(__xludf.DUMMYFUNCTION("""COMPUTED_VALUE"""),4.966078022734629E-4)</f>
        <v>0.0004966078023</v>
      </c>
      <c r="P90" s="70">
        <f>IFERROR(__xludf.DUMMYFUNCTION("""COMPUTED_VALUE"""),4.400424661656605E-4)</f>
        <v>0.0004400424662</v>
      </c>
      <c r="Q90" s="70">
        <f>IFERROR(__xludf.DUMMYFUNCTION("""COMPUTED_VALUE"""),5.002327642501192E-4)</f>
        <v>0.0005002327643</v>
      </c>
      <c r="R90" s="70">
        <f>IFERROR(__xludf.DUMMYFUNCTION("""COMPUTED_VALUE"""),5.002327642501192E-4)</f>
        <v>0.0005002327643</v>
      </c>
      <c r="S90" s="70">
        <f>IFERROR(__xludf.DUMMYFUNCTION("""COMPUTED_VALUE"""),4.077273322264249E-4)</f>
        <v>0.0004077273322</v>
      </c>
      <c r="T90" s="70">
        <f>IFERROR(__xludf.DUMMYFUNCTION("""COMPUTED_VALUE"""),3.596766882972325E-4)</f>
        <v>0.0003596766883</v>
      </c>
      <c r="U90" s="70">
        <f>IFERROR(__xludf.DUMMYFUNCTION("""COMPUTED_VALUE"""),6.279227665258798E-4)</f>
        <v>0.0006279227665</v>
      </c>
      <c r="V90" s="70">
        <f>IFERROR(__xludf.DUMMYFUNCTION("""COMPUTED_VALUE"""),4.3449284085894614E-4)</f>
        <v>0.0004344928409</v>
      </c>
      <c r="W90" s="70">
        <f>IFERROR(__xludf.DUMMYFUNCTION("""COMPUTED_VALUE"""),4.955931878043992E-4)</f>
        <v>0.0004955931878</v>
      </c>
      <c r="X90" s="70">
        <f>IFERROR(__xludf.DUMMYFUNCTION("""COMPUTED_VALUE"""),3.5505324054575864E-4)</f>
        <v>0.0003550532405</v>
      </c>
      <c r="Y90" s="70">
        <f>IFERROR(__xludf.DUMMYFUNCTION("""COMPUTED_VALUE"""),4.427907885130158E-4)</f>
        <v>0.0004427907885</v>
      </c>
      <c r="Z90" s="70">
        <f>IFERROR(__xludf.DUMMYFUNCTION("""COMPUTED_VALUE"""),6.096098673311136E-4)</f>
        <v>0.0006096098673</v>
      </c>
      <c r="AA90" s="70">
        <f>IFERROR(__xludf.DUMMYFUNCTION("""COMPUTED_VALUE"""),5.213899706809079E-4)</f>
        <v>0.0005213899707</v>
      </c>
      <c r="AB90" s="70">
        <f>IFERROR(__xludf.DUMMYFUNCTION("""COMPUTED_VALUE"""),3.596766882972325E-4)</f>
        <v>0.0003596766883</v>
      </c>
      <c r="AC90" s="70">
        <f>IFERROR(__xludf.DUMMYFUNCTION("""COMPUTED_VALUE"""),4.0788584505060385E-4)</f>
        <v>0.0004078858451</v>
      </c>
    </row>
    <row r="91" ht="30.0" customHeight="1">
      <c r="A91" s="64" t="str">
        <f>IFERROR(__xludf.DUMMYFUNCTION("""COMPUTED_VALUE"""),"Impact 90事件機率")</f>
        <v>Impact 90事件機率</v>
      </c>
      <c r="B91" s="67" t="str">
        <f t="shared" si="1"/>
        <v>0.034%</v>
      </c>
      <c r="C91" s="69">
        <f>IFERROR(__xludf.DUMMYFUNCTION("""COMPUTED_VALUE"""),5.385079955838923E-4)</f>
        <v>0.0005385079956</v>
      </c>
      <c r="D91" s="69">
        <f>IFERROR(__xludf.DUMMYFUNCTION("""COMPUTED_VALUE"""),3.337373469517923E-4)</f>
        <v>0.000333737347</v>
      </c>
      <c r="E91" s="69">
        <f>IFERROR(__xludf.DUMMYFUNCTION("""COMPUTED_VALUE"""),4.010722078643276E-4)</f>
        <v>0.0004010722079</v>
      </c>
      <c r="F91" s="69">
        <f>IFERROR(__xludf.DUMMYFUNCTION("""COMPUTED_VALUE"""),2.7477072144612357E-4)</f>
        <v>0.0002747707214</v>
      </c>
      <c r="G91" s="69">
        <f>IFERROR(__xludf.DUMMYFUNCTION("""COMPUTED_VALUE"""),3.7694539631968476E-4)</f>
        <v>0.0003769453963</v>
      </c>
      <c r="H91" s="69">
        <f>IFERROR(__xludf.DUMMYFUNCTION("""COMPUTED_VALUE"""),4.716204207820582E-4)</f>
        <v>0.0004716204208</v>
      </c>
      <c r="I91" s="69">
        <f>IFERROR(__xludf.DUMMYFUNCTION("""COMPUTED_VALUE"""),3.2451269943615016E-4)</f>
        <v>0.0003245126994</v>
      </c>
      <c r="J91" s="69">
        <f>IFERROR(__xludf.DUMMYFUNCTION("""COMPUTED_VALUE"""),3.84869616242329E-4)</f>
        <v>0.0003848696162</v>
      </c>
      <c r="K91" s="69">
        <f>IFERROR(__xludf.DUMMYFUNCTION("""COMPUTED_VALUE"""),2.5431679309732467E-4)</f>
        <v>0.0002543167931</v>
      </c>
      <c r="L91" s="69">
        <f>IFERROR(__xludf.DUMMYFUNCTION("""COMPUTED_VALUE"""),2.5431679309732467E-4)</f>
        <v>0.0002543167931</v>
      </c>
      <c r="M91" s="69">
        <f>IFERROR(__xludf.DUMMYFUNCTION("""COMPUTED_VALUE"""),4.0850656297819563E-4)</f>
        <v>0.000408506563</v>
      </c>
      <c r="N91" s="69">
        <f>IFERROR(__xludf.DUMMYFUNCTION("""COMPUTED_VALUE"""),3.346241975763657E-4)</f>
        <v>0.0003346241976</v>
      </c>
      <c r="O91" s="69">
        <f>IFERROR(__xludf.DUMMYFUNCTION("""COMPUTED_VALUE"""),3.347223743575516E-4)</f>
        <v>0.0003347223744</v>
      </c>
      <c r="P91" s="69">
        <f>IFERROR(__xludf.DUMMYFUNCTION("""COMPUTED_VALUE"""),2.986913458733743E-4)</f>
        <v>0.0002986913459</v>
      </c>
      <c r="Q91" s="69">
        <f>IFERROR(__xludf.DUMMYFUNCTION("""COMPUTED_VALUE"""),3.3681138889522647E-4)</f>
        <v>0.0003368113889</v>
      </c>
      <c r="R91" s="69">
        <f>IFERROR(__xludf.DUMMYFUNCTION("""COMPUTED_VALUE"""),3.3681138889522647E-4)</f>
        <v>0.0003368113889</v>
      </c>
      <c r="S91" s="69">
        <f>IFERROR(__xludf.DUMMYFUNCTION("""COMPUTED_VALUE"""),2.744747205880651E-4)</f>
        <v>0.0002744747206</v>
      </c>
      <c r="T91" s="69">
        <f>IFERROR(__xludf.DUMMYFUNCTION("""COMPUTED_VALUE"""),2.4403491372631744E-4)</f>
        <v>0.0002440349137</v>
      </c>
      <c r="U91" s="69">
        <f>IFERROR(__xludf.DUMMYFUNCTION("""COMPUTED_VALUE"""),4.295064602430271E-4)</f>
        <v>0.0004295064602</v>
      </c>
      <c r="V91" s="69">
        <f>IFERROR(__xludf.DUMMYFUNCTION("""COMPUTED_VALUE"""),2.9364134216652144E-4)</f>
        <v>0.0002936413422</v>
      </c>
      <c r="W91" s="69">
        <f>IFERROR(__xludf.DUMMYFUNCTION("""COMPUTED_VALUE"""),3.370573756025085E-4)</f>
        <v>0.0003370573756</v>
      </c>
      <c r="X91" s="69">
        <f>IFERROR(__xludf.DUMMYFUNCTION("""COMPUTED_VALUE"""),2.3984119107871106E-4)</f>
        <v>0.0002398411911</v>
      </c>
      <c r="Y91" s="69">
        <f>IFERROR(__xludf.DUMMYFUNCTION("""COMPUTED_VALUE"""),3.027262572407198E-4)</f>
        <v>0.0003027262572</v>
      </c>
      <c r="Z91" s="69">
        <f>IFERROR(__xludf.DUMMYFUNCTION("""COMPUTED_VALUE"""),4.1140823051637697E-4)</f>
        <v>0.0004114082305</v>
      </c>
      <c r="AA91" s="69">
        <f>IFERROR(__xludf.DUMMYFUNCTION("""COMPUTED_VALUE"""),3.5068739796129117E-4)</f>
        <v>0.000350687398</v>
      </c>
      <c r="AB91" s="69">
        <f>IFERROR(__xludf.DUMMYFUNCTION("""COMPUTED_VALUE"""),2.4403491372631744E-4)</f>
        <v>0.0002440349137</v>
      </c>
      <c r="AC91" s="69">
        <f>IFERROR(__xludf.DUMMYFUNCTION("""COMPUTED_VALUE"""),2.779306562550146E-4)</f>
        <v>0.0002779306563</v>
      </c>
    </row>
    <row r="92" ht="30.0" customHeight="1">
      <c r="A92" s="64" t="str">
        <f>IFERROR(__xludf.DUMMYFUNCTION("""COMPUTED_VALUE"""),"Impact 91事件機率")</f>
        <v>Impact 91事件機率</v>
      </c>
      <c r="B92" s="67" t="str">
        <f t="shared" si="1"/>
        <v>0.031%</v>
      </c>
      <c r="C92" s="70">
        <f>IFERROR(__xludf.DUMMYFUNCTION("""COMPUTED_VALUE"""),4.8774924835333176E-4)</f>
        <v>0.0004877492484</v>
      </c>
      <c r="D92" s="70">
        <f>IFERROR(__xludf.DUMMYFUNCTION("""COMPUTED_VALUE"""),3.0351681966864794E-4)</f>
        <v>0.0003035168197</v>
      </c>
      <c r="E92" s="70">
        <f>IFERROR(__xludf.DUMMYFUNCTION("""COMPUTED_VALUE"""),3.633602549611465E-4)</f>
        <v>0.000363360255</v>
      </c>
      <c r="F92" s="70">
        <f>IFERROR(__xludf.DUMMYFUNCTION("""COMPUTED_VALUE"""),2.4883672331017505E-4)</f>
        <v>0.0002488367233</v>
      </c>
      <c r="G92" s="70">
        <f>IFERROR(__xludf.DUMMYFUNCTION("""COMPUTED_VALUE"""),3.4151173013407935E-4)</f>
        <v>0.0003415117301</v>
      </c>
      <c r="H92" s="70">
        <f>IFERROR(__xludf.DUMMYFUNCTION("""COMPUTED_VALUE"""),4.2769326862892963E-4)</f>
        <v>0.0004276932686</v>
      </c>
      <c r="I92" s="70">
        <f>IFERROR(__xludf.DUMMYFUNCTION("""COMPUTED_VALUE"""),2.9515792163382204E-4)</f>
        <v>0.0002951579216</v>
      </c>
      <c r="J92" s="70">
        <f>IFERROR(__xludf.DUMMYFUNCTION("""COMPUTED_VALUE"""),3.4997289407132765E-4)</f>
        <v>0.0003499728941</v>
      </c>
      <c r="K92" s="70">
        <f>IFERROR(__xludf.DUMMYFUNCTION("""COMPUTED_VALUE"""),2.3082971234594506E-4)</f>
        <v>0.0002308297123</v>
      </c>
      <c r="L92" s="70">
        <f>IFERROR(__xludf.DUMMYFUNCTION("""COMPUTED_VALUE"""),2.3082971234594506E-4)</f>
        <v>0.0002308297123</v>
      </c>
      <c r="M92" s="70">
        <f>IFERROR(__xludf.DUMMYFUNCTION("""COMPUTED_VALUE"""),3.7084749266432367E-4)</f>
        <v>0.0003708474927</v>
      </c>
      <c r="N92" s="70">
        <f>IFERROR(__xludf.DUMMYFUNCTION("""COMPUTED_VALUE"""),3.0158586255072626E-4)</f>
        <v>0.0003015858626</v>
      </c>
      <c r="O92" s="70">
        <f>IFERROR(__xludf.DUMMYFUNCTION("""COMPUTED_VALUE"""),3.0317168194873276E-4)</f>
        <v>0.0003031716819</v>
      </c>
      <c r="P92" s="70">
        <f>IFERROR(__xludf.DUMMYFUNCTION("""COMPUTED_VALUE"""),2.698094688211069E-4)</f>
        <v>0.0002698094688</v>
      </c>
      <c r="Q92" s="70">
        <f>IFERROR(__xludf.DUMMYFUNCTION("""COMPUTED_VALUE"""),3.0630669117791666E-4)</f>
        <v>0.0003063066912</v>
      </c>
      <c r="R92" s="70">
        <f>IFERROR(__xludf.DUMMYFUNCTION("""COMPUTED_VALUE"""),3.0630669117791666E-4)</f>
        <v>0.0003063066912</v>
      </c>
      <c r="S92" s="70">
        <f>IFERROR(__xludf.DUMMYFUNCTION("""COMPUTED_VALUE"""),2.500017453693928E-4)</f>
        <v>0.0002500017454</v>
      </c>
      <c r="T92" s="70">
        <f>IFERROR(__xludf.DUMMYFUNCTION("""COMPUTED_VALUE"""),2.2106304776981466E-4)</f>
        <v>0.0002210630478</v>
      </c>
      <c r="U92" s="70">
        <f>IFERROR(__xludf.DUMMYFUNCTION("""COMPUTED_VALUE"""),3.8704189576071926E-4)</f>
        <v>0.0003870418958</v>
      </c>
      <c r="V92" s="70">
        <f>IFERROR(__xludf.DUMMYFUNCTION("""COMPUTED_VALUE"""),2.660727062353899E-4)</f>
        <v>0.0002660727062</v>
      </c>
      <c r="W92" s="70">
        <f>IFERROR(__xludf.DUMMYFUNCTION("""COMPUTED_VALUE"""),3.044188957413584E-4)</f>
        <v>0.0003044188957</v>
      </c>
      <c r="X92" s="70">
        <f>IFERROR(__xludf.DUMMYFUNCTION("""COMPUTED_VALUE"""),2.1778729022231774E-4)</f>
        <v>0.0002177872902</v>
      </c>
      <c r="Y92" s="70">
        <f>IFERROR(__xludf.DUMMYFUNCTION("""COMPUTED_VALUE"""),2.7361312543811435E-4)</f>
        <v>0.0002736131254</v>
      </c>
      <c r="Z92" s="70">
        <f>IFERROR(__xludf.DUMMYFUNCTION("""COMPUTED_VALUE"""),3.750672479134484E-4)</f>
        <v>0.0003750672479</v>
      </c>
      <c r="AA92" s="70">
        <f>IFERROR(__xludf.DUMMYFUNCTION("""COMPUTED_VALUE"""),3.1924946247952036E-4)</f>
        <v>0.0003192494625</v>
      </c>
      <c r="AB92" s="70">
        <f>IFERROR(__xludf.DUMMYFUNCTION("""COMPUTED_VALUE"""),2.2106304776981466E-4)</f>
        <v>0.0002210630478</v>
      </c>
      <c r="AC92" s="70">
        <f>IFERROR(__xludf.DUMMYFUNCTION("""COMPUTED_VALUE"""),2.509601461370136E-4)</f>
        <v>0.0002509601461</v>
      </c>
    </row>
    <row r="93" ht="30.0" customHeight="1">
      <c r="A93" s="64" t="str">
        <f>IFERROR(__xludf.DUMMYFUNCTION("""COMPUTED_VALUE"""),"Impact 92事件機率")</f>
        <v>Impact 92事件機率</v>
      </c>
      <c r="B93" s="67" t="str">
        <f t="shared" si="1"/>
        <v>0.034%</v>
      </c>
      <c r="C93" s="69">
        <f>IFERROR(__xludf.DUMMYFUNCTION("""COMPUTED_VALUE"""),5.362947803141972E-4)</f>
        <v>0.0005362947803</v>
      </c>
      <c r="D93" s="69">
        <f>IFERROR(__xludf.DUMMYFUNCTION("""COMPUTED_VALUE"""),3.3313800291571554E-4)</f>
        <v>0.0003331380029</v>
      </c>
      <c r="E93" s="69">
        <f>IFERROR(__xludf.DUMMYFUNCTION("""COMPUTED_VALUE"""),3.984042096525873E-4)</f>
        <v>0.0003984042097</v>
      </c>
      <c r="F93" s="69">
        <f>IFERROR(__xludf.DUMMYFUNCTION("""COMPUTED_VALUE"""),2.7236990478411667E-4)</f>
        <v>0.0002723699048</v>
      </c>
      <c r="G93" s="69">
        <f>IFERROR(__xludf.DUMMYFUNCTION("""COMPUTED_VALUE"""),3.7436459378668646E-4)</f>
        <v>0.0003743645938</v>
      </c>
      <c r="H93" s="69">
        <f>IFERROR(__xludf.DUMMYFUNCTION("""COMPUTED_VALUE"""),4.678996984482441E-4)</f>
        <v>0.0004678996984</v>
      </c>
      <c r="I93" s="69">
        <f>IFERROR(__xludf.DUMMYFUNCTION("""COMPUTED_VALUE"""),3.233139557210915E-4)</f>
        <v>0.0003233139557</v>
      </c>
      <c r="J93" s="69">
        <f>IFERROR(__xludf.DUMMYFUNCTION("""COMPUTED_VALUE"""),3.828471342058534E-4)</f>
        <v>0.0003828471342</v>
      </c>
      <c r="K93" s="69">
        <f>IFERROR(__xludf.DUMMYFUNCTION("""COMPUTED_VALUE"""),2.541352637023725E-4)</f>
        <v>0.0002541352637</v>
      </c>
      <c r="L93" s="69">
        <f>IFERROR(__xludf.DUMMYFUNCTION("""COMPUTED_VALUE"""),2.541352637023725E-4)</f>
        <v>0.0002541352637</v>
      </c>
      <c r="M93" s="69">
        <f>IFERROR(__xludf.DUMMYFUNCTION("""COMPUTED_VALUE"""),4.067601536700434E-4)</f>
        <v>0.0004067601537</v>
      </c>
      <c r="N93" s="69">
        <f>IFERROR(__xludf.DUMMYFUNCTION("""COMPUTED_VALUE"""),3.3176944526040135E-4)</f>
        <v>0.0003317694453</v>
      </c>
      <c r="O93" s="69">
        <f>IFERROR(__xludf.DUMMYFUNCTION("""COMPUTED_VALUE"""),3.3302647309486346E-4)</f>
        <v>0.0003330264731</v>
      </c>
      <c r="P93" s="69">
        <f>IFERROR(__xludf.DUMMYFUNCTION("""COMPUTED_VALUE"""),2.972418145457392E-4)</f>
        <v>0.0002972418145</v>
      </c>
      <c r="Q93" s="69">
        <f>IFERROR(__xludf.DUMMYFUNCTION("""COMPUTED_VALUE"""),3.3658402584810243E-4)</f>
        <v>0.0003365840258</v>
      </c>
      <c r="R93" s="69">
        <f>IFERROR(__xludf.DUMMYFUNCTION("""COMPUTED_VALUE"""),3.3658402584810243E-4)</f>
        <v>0.0003365840258</v>
      </c>
      <c r="S93" s="69">
        <f>IFERROR(__xludf.DUMMYFUNCTION("""COMPUTED_VALUE"""),2.7479508083170763E-4)</f>
        <v>0.0002747950808</v>
      </c>
      <c r="T93" s="69">
        <f>IFERROR(__xludf.DUMMYFUNCTION("""COMPUTED_VALUE"""),2.4269260422521026E-4)</f>
        <v>0.0002426926042</v>
      </c>
      <c r="U93" s="69">
        <f>IFERROR(__xludf.DUMMYFUNCTION("""COMPUTED_VALUE"""),4.2469340495133215E-4)</f>
        <v>0.000424693405</v>
      </c>
      <c r="V93" s="69">
        <f>IFERROR(__xludf.DUMMYFUNCTION("""COMPUTED_VALUE"""),2.9120108251746296E-4)</f>
        <v>0.0002912010825</v>
      </c>
      <c r="W93" s="69">
        <f>IFERROR(__xludf.DUMMYFUNCTION("""COMPUTED_VALUE"""),3.3344748833768686E-4)</f>
        <v>0.0003334474883</v>
      </c>
      <c r="X93" s="69">
        <f>IFERROR(__xludf.DUMMYFUNCTION("""COMPUTED_VALUE"""),2.3830987962181535E-4)</f>
        <v>0.0002383098796</v>
      </c>
      <c r="Y93" s="69">
        <f>IFERROR(__xludf.DUMMYFUNCTION("""COMPUTED_VALUE"""),3.001517738779542E-4)</f>
        <v>0.0003001517739</v>
      </c>
      <c r="Z93" s="69">
        <f>IFERROR(__xludf.DUMMYFUNCTION("""COMPUTED_VALUE"""),4.102420584623686E-4)</f>
        <v>0.0004102420585</v>
      </c>
      <c r="AA93" s="69">
        <f>IFERROR(__xludf.DUMMYFUNCTION("""COMPUTED_VALUE"""),3.5132804067548716E-4)</f>
        <v>0.0003513280407</v>
      </c>
      <c r="AB93" s="69">
        <f>IFERROR(__xludf.DUMMYFUNCTION("""COMPUTED_VALUE"""),2.4269260422521026E-4)</f>
        <v>0.0002426926042</v>
      </c>
      <c r="AC93" s="69">
        <f>IFERROR(__xludf.DUMMYFUNCTION("""COMPUTED_VALUE"""),2.752600432114499E-4)</f>
        <v>0.0002752600432</v>
      </c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</row>
    <row r="233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</row>
    <row r="234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</row>
    <row r="23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</row>
    <row r="236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</row>
    <row r="237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</row>
    <row r="238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</row>
    <row r="239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</row>
    <row r="240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</row>
    <row r="241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</row>
    <row r="242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</row>
    <row r="243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</row>
    <row r="244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</row>
    <row r="24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</row>
    <row r="246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</row>
    <row r="247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</row>
    <row r="248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</row>
    <row r="249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</row>
    <row r="250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</row>
    <row r="251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</row>
    <row r="252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</row>
    <row r="253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</row>
    <row r="254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</row>
    <row r="25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</row>
    <row r="256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</row>
    <row r="257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</row>
    <row r="258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</row>
    <row r="259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</row>
    <row r="260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</row>
    <row r="261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</row>
    <row r="262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</row>
    <row r="263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</row>
    <row r="264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</row>
    <row r="2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</row>
    <row r="266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</row>
    <row r="267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</row>
    <row r="268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</row>
    <row r="269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</row>
    <row r="270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</row>
    <row r="271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</row>
    <row r="272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</row>
    <row r="273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</row>
    <row r="274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</row>
    <row r="27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</row>
    <row r="276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</row>
    <row r="277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</row>
    <row r="278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</row>
    <row r="279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</row>
    <row r="280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</row>
    <row r="281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</row>
    <row r="282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</row>
    <row r="283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</row>
    <row r="284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</row>
    <row r="28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</row>
    <row r="286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</row>
    <row r="287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</row>
    <row r="288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</row>
    <row r="289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</row>
    <row r="290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</row>
    <row r="291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</row>
    <row r="292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</row>
    <row r="293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</row>
    <row r="294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</row>
    <row r="29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</row>
    <row r="296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</row>
    <row r="297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</row>
    <row r="298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</row>
    <row r="299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</row>
    <row r="300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</row>
    <row r="301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</row>
    <row r="302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</row>
    <row r="303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</row>
    <row r="304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</row>
    <row r="30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</row>
    <row r="306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</row>
    <row r="307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</row>
    <row r="308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</row>
    <row r="309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</row>
    <row r="310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</row>
    <row r="311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</row>
    <row r="312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</row>
    <row r="313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</row>
    <row r="314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</row>
    <row r="31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</row>
    <row r="316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</row>
    <row r="317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</row>
    <row r="318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</row>
    <row r="319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</row>
    <row r="320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</row>
    <row r="321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</row>
    <row r="322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</row>
    <row r="323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</row>
    <row r="324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</row>
    <row r="32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</row>
    <row r="326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</row>
    <row r="327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</row>
    <row r="328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</row>
    <row r="329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</row>
    <row r="330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</row>
    <row r="331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</row>
    <row r="332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</row>
    <row r="333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</row>
    <row r="334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</row>
    <row r="33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</row>
    <row r="336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</row>
    <row r="337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</row>
    <row r="338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</row>
    <row r="339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</row>
    <row r="340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</row>
    <row r="341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</row>
    <row r="342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</row>
    <row r="343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</row>
    <row r="344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</row>
    <row r="34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</row>
    <row r="346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</row>
    <row r="347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</row>
    <row r="348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</row>
    <row r="349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</row>
    <row r="350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</row>
    <row r="351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</row>
    <row r="352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</row>
    <row r="353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</row>
    <row r="354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</row>
    <row r="35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</row>
    <row r="356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</row>
    <row r="357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</row>
    <row r="358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</row>
    <row r="359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</row>
    <row r="360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</row>
    <row r="361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</row>
    <row r="362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</row>
    <row r="363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</row>
    <row r="364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</row>
    <row r="3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</row>
    <row r="366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</row>
    <row r="367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</row>
    <row r="368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</row>
    <row r="369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</row>
    <row r="370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</row>
    <row r="371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</row>
    <row r="372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</row>
    <row r="373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</row>
    <row r="374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</row>
    <row r="37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</row>
    <row r="376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</row>
    <row r="377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</row>
    <row r="378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</row>
    <row r="379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</row>
    <row r="380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</row>
    <row r="381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</row>
    <row r="382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</row>
    <row r="383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</row>
    <row r="384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</row>
    <row r="38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</row>
    <row r="386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</row>
    <row r="387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</row>
    <row r="388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</row>
    <row r="389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</row>
    <row r="390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</row>
    <row r="391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</row>
    <row r="392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</row>
    <row r="393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</row>
    <row r="394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</row>
    <row r="39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</row>
    <row r="396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</row>
    <row r="397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</row>
    <row r="398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</row>
    <row r="399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</row>
    <row r="400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</row>
    <row r="401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</row>
    <row r="402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</row>
    <row r="403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</row>
    <row r="404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</row>
    <row r="40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</row>
    <row r="406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</row>
    <row r="407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</row>
    <row r="408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</row>
    <row r="409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</row>
    <row r="410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</row>
    <row r="411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</row>
    <row r="412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</row>
    <row r="413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</row>
    <row r="414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</row>
    <row r="41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</row>
    <row r="416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</row>
    <row r="417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</row>
    <row r="418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</row>
    <row r="419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</row>
    <row r="420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</row>
    <row r="421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</row>
    <row r="422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</row>
    <row r="423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</row>
    <row r="424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</row>
    <row r="42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</row>
    <row r="426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</row>
    <row r="427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</row>
    <row r="428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</row>
    <row r="429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</row>
    <row r="430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</row>
    <row r="431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</row>
    <row r="432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</row>
    <row r="433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</row>
    <row r="434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</row>
    <row r="43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</row>
    <row r="436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</row>
    <row r="437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</row>
    <row r="438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</row>
    <row r="439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</row>
    <row r="440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</row>
    <row r="441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</row>
    <row r="442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</row>
    <row r="443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</row>
    <row r="444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</row>
    <row r="44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</row>
    <row r="44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</row>
    <row r="447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</row>
    <row r="448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</row>
    <row r="449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</row>
    <row r="450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</row>
    <row r="451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</row>
    <row r="452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</row>
    <row r="453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</row>
    <row r="454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</row>
    <row r="45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</row>
    <row r="45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</row>
    <row r="457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</row>
    <row r="458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</row>
    <row r="459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</row>
    <row r="460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</row>
    <row r="461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</row>
    <row r="462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</row>
    <row r="463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</row>
    <row r="464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</row>
    <row r="4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</row>
    <row r="46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</row>
    <row r="467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</row>
    <row r="468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</row>
    <row r="469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</row>
    <row r="470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</row>
    <row r="471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</row>
    <row r="472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</row>
    <row r="473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</row>
    <row r="474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</row>
    <row r="47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</row>
    <row r="47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</row>
    <row r="477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</row>
    <row r="478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</row>
    <row r="479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</row>
    <row r="480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</row>
    <row r="481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</row>
    <row r="482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</row>
    <row r="483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</row>
    <row r="484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</row>
    <row r="48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</row>
    <row r="48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</row>
    <row r="487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</row>
    <row r="488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</row>
    <row r="489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</row>
    <row r="490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</row>
    <row r="491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</row>
    <row r="492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</row>
    <row r="493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</row>
    <row r="494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</row>
    <row r="49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</row>
    <row r="49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</row>
    <row r="497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</row>
    <row r="498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</row>
    <row r="499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</row>
    <row r="500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</row>
    <row r="501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</row>
    <row r="502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</row>
    <row r="503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</row>
    <row r="504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</row>
    <row r="50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</row>
    <row r="50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</row>
    <row r="507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</row>
    <row r="508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</row>
    <row r="509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</row>
    <row r="510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</row>
    <row r="511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</row>
    <row r="512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</row>
    <row r="513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</row>
    <row r="514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</row>
    <row r="51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</row>
    <row r="51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</row>
    <row r="517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</row>
    <row r="518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</row>
    <row r="519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</row>
    <row r="520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</row>
    <row r="521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</row>
    <row r="522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</row>
    <row r="523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</row>
    <row r="524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</row>
    <row r="52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</row>
    <row r="5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</row>
    <row r="527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</row>
    <row r="528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</row>
    <row r="529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</row>
    <row r="530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</row>
    <row r="531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</row>
    <row r="532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</row>
    <row r="533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</row>
    <row r="534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</row>
    <row r="53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</row>
    <row r="53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</row>
    <row r="537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</row>
    <row r="538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</row>
    <row r="539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</row>
    <row r="540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</row>
    <row r="541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</row>
    <row r="542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</row>
    <row r="543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</row>
    <row r="544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</row>
    <row r="54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</row>
    <row r="54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</row>
    <row r="547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</row>
    <row r="548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</row>
    <row r="549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</row>
    <row r="550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</row>
    <row r="551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</row>
    <row r="552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</row>
    <row r="553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</row>
    <row r="554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</row>
    <row r="55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</row>
    <row r="55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</row>
    <row r="557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</row>
    <row r="558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</row>
    <row r="559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</row>
    <row r="560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</row>
    <row r="561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</row>
    <row r="562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</row>
    <row r="563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</row>
    <row r="564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</row>
    <row r="5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</row>
    <row r="56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</row>
    <row r="567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</row>
    <row r="568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</row>
    <row r="569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</row>
    <row r="570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</row>
    <row r="571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</row>
    <row r="572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</row>
    <row r="573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</row>
    <row r="574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</row>
    <row r="57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</row>
    <row r="57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</row>
    <row r="577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</row>
    <row r="578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</row>
    <row r="579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</row>
    <row r="580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</row>
    <row r="581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</row>
    <row r="582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</row>
    <row r="583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</row>
    <row r="584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</row>
    <row r="58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</row>
    <row r="58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</row>
    <row r="587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</row>
    <row r="588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</row>
    <row r="589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</row>
    <row r="590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</row>
    <row r="591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</row>
    <row r="592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</row>
    <row r="593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</row>
    <row r="594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</row>
    <row r="59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</row>
    <row r="59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</row>
    <row r="597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</row>
    <row r="598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</row>
    <row r="599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</row>
    <row r="600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</row>
    <row r="601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</row>
    <row r="602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</row>
    <row r="603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</row>
    <row r="604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</row>
    <row r="60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</row>
    <row r="60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</row>
    <row r="607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</row>
    <row r="608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</row>
    <row r="609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</row>
    <row r="610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</row>
    <row r="611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</row>
    <row r="612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</row>
    <row r="613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</row>
    <row r="614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</row>
    <row r="61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</row>
    <row r="61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</row>
    <row r="617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</row>
    <row r="618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</row>
    <row r="619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</row>
    <row r="620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</row>
    <row r="621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</row>
    <row r="622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</row>
    <row r="623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</row>
    <row r="624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</row>
    <row r="62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</row>
    <row r="6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</row>
    <row r="627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</row>
    <row r="628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</row>
    <row r="629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</row>
    <row r="630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</row>
    <row r="631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</row>
    <row r="632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</row>
    <row r="633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</row>
    <row r="634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</row>
    <row r="63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</row>
    <row r="63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</row>
    <row r="637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</row>
    <row r="638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</row>
    <row r="639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</row>
    <row r="640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</row>
    <row r="641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</row>
    <row r="642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</row>
    <row r="643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</row>
    <row r="644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</row>
    <row r="64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</row>
    <row r="64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</row>
    <row r="647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</row>
    <row r="648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</row>
    <row r="649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</row>
    <row r="650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</row>
    <row r="651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</row>
    <row r="652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</row>
    <row r="653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</row>
    <row r="654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</row>
    <row r="65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</row>
    <row r="65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</row>
    <row r="657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</row>
    <row r="658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</row>
    <row r="659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</row>
    <row r="660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</row>
    <row r="661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</row>
    <row r="662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</row>
    <row r="663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</row>
    <row r="664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</row>
    <row r="6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</row>
    <row r="66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</row>
    <row r="667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</row>
    <row r="668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</row>
    <row r="669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</row>
    <row r="670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</row>
    <row r="671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</row>
    <row r="672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</row>
    <row r="673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</row>
    <row r="674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</row>
    <row r="67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</row>
    <row r="67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</row>
    <row r="677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</row>
    <row r="678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</row>
    <row r="679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</row>
    <row r="680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</row>
    <row r="681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</row>
    <row r="682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</row>
    <row r="683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</row>
    <row r="684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</row>
    <row r="68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</row>
    <row r="68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</row>
    <row r="687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</row>
    <row r="688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</row>
    <row r="689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</row>
    <row r="690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</row>
    <row r="691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</row>
    <row r="692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</row>
    <row r="693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</row>
    <row r="694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</row>
    <row r="69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</row>
    <row r="69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</row>
    <row r="697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</row>
    <row r="698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</row>
    <row r="699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</row>
    <row r="700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</row>
    <row r="701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</row>
    <row r="702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</row>
    <row r="703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</row>
    <row r="704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</row>
    <row r="70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</row>
    <row r="70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</row>
    <row r="707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</row>
    <row r="708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</row>
    <row r="709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</row>
    <row r="710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</row>
    <row r="711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</row>
    <row r="712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</row>
    <row r="713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</row>
    <row r="714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</row>
    <row r="71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</row>
    <row r="71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</row>
    <row r="717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</row>
    <row r="718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</row>
    <row r="719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</row>
    <row r="720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</row>
    <row r="721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</row>
    <row r="722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</row>
    <row r="723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</row>
    <row r="724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</row>
    <row r="72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</row>
    <row r="7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</row>
    <row r="727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</row>
    <row r="728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</row>
    <row r="729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</row>
    <row r="730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</row>
    <row r="731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</row>
    <row r="732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</row>
    <row r="733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</row>
    <row r="734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</row>
    <row r="73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</row>
    <row r="73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</row>
    <row r="737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</row>
    <row r="738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</row>
    <row r="739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</row>
    <row r="740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</row>
    <row r="741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</row>
    <row r="742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</row>
    <row r="743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</row>
    <row r="744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</row>
    <row r="74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</row>
    <row r="74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</row>
    <row r="747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</row>
    <row r="748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</row>
    <row r="749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</row>
    <row r="750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</row>
    <row r="751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</row>
    <row r="752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</row>
    <row r="753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</row>
    <row r="754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</row>
    <row r="75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</row>
    <row r="75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</row>
    <row r="757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</row>
    <row r="758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</row>
    <row r="759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</row>
    <row r="760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</row>
    <row r="761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</row>
    <row r="762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</row>
    <row r="763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</row>
    <row r="764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</row>
    <row r="7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</row>
    <row r="76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</row>
    <row r="767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</row>
    <row r="768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</row>
    <row r="769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</row>
    <row r="770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</row>
    <row r="771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</row>
    <row r="772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</row>
    <row r="773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</row>
    <row r="774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</row>
    <row r="77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</row>
    <row r="77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</row>
    <row r="777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</row>
    <row r="778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</row>
    <row r="779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</row>
    <row r="780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</row>
    <row r="781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</row>
    <row r="782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</row>
    <row r="783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</row>
    <row r="784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</row>
    <row r="78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</row>
    <row r="78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</row>
    <row r="787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</row>
    <row r="788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</row>
    <row r="789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</row>
    <row r="790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</row>
    <row r="791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</row>
    <row r="792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</row>
    <row r="793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</row>
    <row r="794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</row>
    <row r="79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</row>
    <row r="79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</row>
    <row r="797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</row>
    <row r="798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</row>
    <row r="799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</row>
    <row r="800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</row>
    <row r="801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</row>
    <row r="802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</row>
    <row r="803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</row>
    <row r="804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</row>
    <row r="80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</row>
    <row r="80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</row>
    <row r="807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</row>
    <row r="808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</row>
    <row r="809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</row>
    <row r="810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</row>
    <row r="811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</row>
    <row r="812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</row>
    <row r="813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</row>
    <row r="814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</row>
    <row r="81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</row>
    <row r="81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</row>
    <row r="817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</row>
    <row r="818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</row>
    <row r="819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</row>
    <row r="820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</row>
    <row r="821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</row>
    <row r="822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</row>
    <row r="823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</row>
    <row r="824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</row>
    <row r="82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</row>
    <row r="8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</row>
    <row r="827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</row>
    <row r="828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</row>
    <row r="829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</row>
    <row r="830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</row>
    <row r="831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</row>
    <row r="832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</row>
    <row r="833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</row>
    <row r="834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</row>
    <row r="83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</row>
    <row r="83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</row>
    <row r="837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</row>
    <row r="838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</row>
    <row r="839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</row>
    <row r="840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</row>
    <row r="841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</row>
    <row r="842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</row>
    <row r="843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</row>
    <row r="844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</row>
    <row r="84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</row>
    <row r="84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</row>
    <row r="847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</row>
    <row r="848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</row>
    <row r="849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</row>
    <row r="850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</row>
    <row r="851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</row>
    <row r="852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</row>
    <row r="853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</row>
    <row r="854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</row>
    <row r="85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</row>
    <row r="85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</row>
    <row r="857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</row>
    <row r="858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</row>
    <row r="859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</row>
    <row r="860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</row>
    <row r="861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</row>
    <row r="862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</row>
    <row r="863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</row>
    <row r="864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</row>
    <row r="8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</row>
    <row r="86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</row>
    <row r="867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</row>
    <row r="868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</row>
    <row r="869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</row>
    <row r="870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</row>
    <row r="871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</row>
    <row r="872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</row>
    <row r="873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</row>
    <row r="874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</row>
    <row r="87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</row>
    <row r="87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</row>
    <row r="877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</row>
    <row r="878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</row>
    <row r="879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</row>
    <row r="880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</row>
    <row r="881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</row>
    <row r="882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</row>
    <row r="883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</row>
    <row r="884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</row>
    <row r="88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</row>
    <row r="88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</row>
    <row r="887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</row>
    <row r="888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</row>
    <row r="889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</row>
    <row r="890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</row>
    <row r="891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</row>
    <row r="892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</row>
    <row r="893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</row>
    <row r="894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</row>
    <row r="89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</row>
    <row r="89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</row>
    <row r="897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</row>
    <row r="898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</row>
    <row r="899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</row>
    <row r="900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</row>
    <row r="901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</row>
    <row r="902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</row>
    <row r="903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</row>
    <row r="904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</row>
    <row r="90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</row>
    <row r="90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</row>
    <row r="907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</row>
    <row r="908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</row>
    <row r="909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</row>
    <row r="910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</row>
    <row r="911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</row>
    <row r="912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</row>
    <row r="913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</row>
    <row r="914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</row>
    <row r="91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</row>
    <row r="91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</row>
    <row r="917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</row>
    <row r="918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</row>
    <row r="919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</row>
    <row r="920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</row>
    <row r="921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</row>
    <row r="922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</row>
    <row r="923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</row>
    <row r="924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</row>
    <row r="92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</row>
    <row r="9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</row>
    <row r="927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</row>
    <row r="928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</row>
    <row r="929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</row>
    <row r="930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</row>
    <row r="931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</row>
    <row r="932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</row>
    <row r="933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</row>
    <row r="934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</row>
    <row r="935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</row>
    <row r="93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</row>
    <row r="937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</row>
    <row r="938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</row>
    <row r="939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</row>
    <row r="940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</row>
    <row r="941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</row>
    <row r="942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</row>
    <row r="943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</row>
    <row r="944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</row>
    <row r="945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</row>
    <row r="94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</row>
    <row r="947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1"/>
      <c r="AC947" s="61"/>
    </row>
    <row r="948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  <c r="AA948" s="61"/>
      <c r="AB948" s="61"/>
      <c r="AC948" s="61"/>
    </row>
    <row r="949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  <c r="AA949" s="61"/>
      <c r="AB949" s="61"/>
      <c r="AC949" s="61"/>
    </row>
    <row r="950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  <c r="AA950" s="61"/>
      <c r="AB950" s="61"/>
      <c r="AC950" s="61"/>
    </row>
    <row r="951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  <c r="AA951" s="61"/>
      <c r="AB951" s="61"/>
      <c r="AC951" s="61"/>
    </row>
    <row r="952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  <c r="AA952" s="61"/>
      <c r="AB952" s="61"/>
      <c r="AC952" s="61"/>
    </row>
    <row r="953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  <c r="AA953" s="61"/>
      <c r="AB953" s="61"/>
      <c r="AC953" s="61"/>
    </row>
    <row r="954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  <c r="AA954" s="61"/>
      <c r="AB954" s="61"/>
      <c r="AC954" s="61"/>
    </row>
    <row r="955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  <c r="AA955" s="61"/>
      <c r="AB955" s="61"/>
      <c r="AC955" s="61"/>
    </row>
    <row r="95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  <c r="AA956" s="61"/>
      <c r="AB956" s="61"/>
      <c r="AC956" s="61"/>
    </row>
    <row r="957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1"/>
      <c r="AC957" s="61"/>
    </row>
    <row r="958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  <c r="AA958" s="61"/>
      <c r="AB958" s="61"/>
      <c r="AC958" s="61"/>
    </row>
    <row r="959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  <c r="AA959" s="61"/>
      <c r="AB959" s="61"/>
      <c r="AC959" s="61"/>
    </row>
    <row r="960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  <c r="AA960" s="61"/>
      <c r="AB960" s="61"/>
      <c r="AC960" s="61"/>
    </row>
    <row r="961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  <c r="AA961" s="61"/>
      <c r="AB961" s="61"/>
      <c r="AC961" s="61"/>
    </row>
    <row r="962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  <c r="AA962" s="61"/>
      <c r="AB962" s="61"/>
      <c r="AC962" s="61"/>
    </row>
    <row r="963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  <c r="AA963" s="61"/>
      <c r="AB963" s="61"/>
      <c r="AC963" s="61"/>
    </row>
    <row r="964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  <c r="AA964" s="61"/>
      <c r="AB964" s="61"/>
      <c r="AC964" s="61"/>
    </row>
    <row r="965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  <c r="AA965" s="61"/>
      <c r="AB965" s="61"/>
      <c r="AC965" s="61"/>
    </row>
    <row r="96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  <c r="AA966" s="61"/>
      <c r="AB966" s="61"/>
      <c r="AC966" s="61"/>
    </row>
    <row r="967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  <c r="AA967" s="61"/>
      <c r="AB967" s="61"/>
      <c r="AC967" s="61"/>
    </row>
    <row r="968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  <c r="AA968" s="61"/>
      <c r="AB968" s="61"/>
      <c r="AC968" s="61"/>
    </row>
    <row r="969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1"/>
      <c r="AC969" s="61"/>
    </row>
    <row r="970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  <c r="AA970" s="61"/>
      <c r="AB970" s="61"/>
      <c r="AC970" s="61"/>
    </row>
    <row r="971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  <c r="AA971" s="61"/>
      <c r="AB971" s="61"/>
      <c r="AC971" s="61"/>
    </row>
    <row r="972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  <c r="AA972" s="61"/>
      <c r="AB972" s="61"/>
      <c r="AC972" s="61"/>
    </row>
    <row r="973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  <c r="AA973" s="61"/>
      <c r="AB973" s="61"/>
      <c r="AC973" s="61"/>
    </row>
    <row r="974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  <c r="AA974" s="61"/>
      <c r="AB974" s="61"/>
      <c r="AC974" s="61"/>
    </row>
    <row r="975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  <c r="AA975" s="61"/>
      <c r="AB975" s="61"/>
      <c r="AC975" s="61"/>
    </row>
    <row r="97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  <c r="AA976" s="61"/>
      <c r="AB976" s="61"/>
      <c r="AC976" s="61"/>
    </row>
    <row r="977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  <c r="AA977" s="61"/>
      <c r="AB977" s="61"/>
      <c r="AC977" s="61"/>
    </row>
    <row r="978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  <c r="AA978" s="61"/>
      <c r="AB978" s="61"/>
      <c r="AC978" s="61"/>
    </row>
    <row r="979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  <c r="AA979" s="61"/>
      <c r="AB979" s="61"/>
      <c r="AC979" s="61"/>
    </row>
    <row r="980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  <c r="AA980" s="61"/>
      <c r="AB980" s="61"/>
      <c r="AC980" s="61"/>
    </row>
    <row r="981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  <c r="AA981" s="61"/>
      <c r="AB981" s="61"/>
      <c r="AC981" s="61"/>
    </row>
    <row r="982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  <c r="AA982" s="61"/>
      <c r="AB982" s="61"/>
      <c r="AC982" s="61"/>
    </row>
    <row r="983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  <c r="AA983" s="61"/>
      <c r="AB983" s="61"/>
      <c r="AC983" s="61"/>
    </row>
    <row r="984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  <c r="AA984" s="61"/>
      <c r="AB984" s="61"/>
      <c r="AC984" s="61"/>
    </row>
    <row r="985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  <c r="AA985" s="61"/>
      <c r="AB985" s="61"/>
      <c r="AC985" s="61"/>
    </row>
    <row r="98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  <c r="AA986" s="61"/>
      <c r="AB986" s="61"/>
      <c r="AC986" s="61"/>
    </row>
    <row r="987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  <c r="AA987" s="61"/>
      <c r="AB987" s="61"/>
      <c r="AC987" s="61"/>
    </row>
    <row r="988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  <c r="AA988" s="61"/>
      <c r="AB988" s="61"/>
      <c r="AC988" s="61"/>
    </row>
    <row r="989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  <c r="AA989" s="61"/>
      <c r="AB989" s="61"/>
      <c r="AC989" s="61"/>
    </row>
    <row r="990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  <c r="AA990" s="61"/>
      <c r="AB990" s="61"/>
      <c r="AC990" s="61"/>
    </row>
    <row r="991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  <c r="AA991" s="61"/>
      <c r="AB991" s="61"/>
      <c r="AC991" s="61"/>
    </row>
    <row r="992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  <c r="AA992" s="61"/>
      <c r="AB992" s="61"/>
      <c r="AC992" s="61"/>
    </row>
    <row r="993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  <c r="AA993" s="61"/>
      <c r="AB993" s="61"/>
      <c r="AC993" s="61"/>
    </row>
    <row r="994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  <c r="AA994" s="61"/>
      <c r="AB994" s="61"/>
      <c r="AC994" s="61"/>
    </row>
    <row r="995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  <c r="AA995" s="61"/>
      <c r="AB995" s="61"/>
      <c r="AC995" s="61"/>
    </row>
    <row r="996" ht="15.7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  <c r="AA996" s="61"/>
      <c r="AB996" s="61"/>
      <c r="AC996" s="61"/>
    </row>
    <row r="997" ht="15.7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  <c r="AA997" s="61"/>
      <c r="AB997" s="61"/>
      <c r="AC997" s="61"/>
    </row>
    <row r="998" ht="15.7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  <c r="AA998" s="61"/>
      <c r="AB998" s="61"/>
      <c r="AC998" s="61"/>
    </row>
    <row r="999" ht="15.7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  <c r="AA999" s="61"/>
      <c r="AB999" s="61"/>
      <c r="AC999" s="61"/>
    </row>
    <row r="1000" ht="15.7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  <c r="AA1000" s="61"/>
      <c r="AB1000" s="61"/>
      <c r="AC1000" s="61"/>
    </row>
    <row r="1001" ht="15.75" customHeight="1">
      <c r="A1001" s="61"/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61"/>
      <c r="W1001" s="61"/>
      <c r="X1001" s="61"/>
      <c r="Y1001" s="61"/>
      <c r="Z1001" s="61"/>
      <c r="AA1001" s="61"/>
      <c r="AB1001" s="61"/>
      <c r="AC1001" s="61"/>
    </row>
    <row r="1002" ht="15.75" customHeight="1">
      <c r="A1002" s="61"/>
      <c r="B1002" s="61"/>
      <c r="C1002" s="61"/>
      <c r="D1002" s="61"/>
      <c r="E1002" s="61"/>
      <c r="F1002" s="61"/>
      <c r="G1002" s="61"/>
      <c r="H1002" s="61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61"/>
      <c r="W1002" s="61"/>
      <c r="X1002" s="61"/>
      <c r="Y1002" s="61"/>
      <c r="Z1002" s="61"/>
      <c r="AA1002" s="61"/>
      <c r="AB1002" s="61"/>
      <c r="AC1002" s="61"/>
    </row>
    <row r="1003" ht="15.75" customHeight="1">
      <c r="A1003" s="61"/>
      <c r="B1003" s="61"/>
      <c r="C1003" s="61"/>
      <c r="D1003" s="61"/>
      <c r="E1003" s="61"/>
      <c r="F1003" s="61"/>
      <c r="G1003" s="61"/>
      <c r="H1003" s="61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61"/>
      <c r="W1003" s="61"/>
      <c r="X1003" s="61"/>
      <c r="Y1003" s="61"/>
      <c r="Z1003" s="61"/>
      <c r="AA1003" s="61"/>
      <c r="AB1003" s="61"/>
      <c r="AC1003" s="61"/>
    </row>
    <row r="1004" ht="15.75" customHeight="1">
      <c r="A1004" s="61"/>
      <c r="B1004" s="61"/>
      <c r="C1004" s="61"/>
      <c r="D1004" s="61"/>
      <c r="E1004" s="61"/>
      <c r="F1004" s="61"/>
      <c r="G1004" s="61"/>
      <c r="H1004" s="61"/>
      <c r="I1004" s="61"/>
      <c r="J1004" s="61"/>
      <c r="K1004" s="61"/>
      <c r="L1004" s="61"/>
      <c r="M1004" s="61"/>
      <c r="N1004" s="61"/>
      <c r="O1004" s="61"/>
      <c r="P1004" s="61"/>
      <c r="Q1004" s="61"/>
      <c r="R1004" s="61"/>
      <c r="S1004" s="61"/>
      <c r="T1004" s="61"/>
      <c r="U1004" s="61"/>
      <c r="V1004" s="61"/>
      <c r="W1004" s="61"/>
      <c r="X1004" s="61"/>
      <c r="Y1004" s="61"/>
      <c r="Z1004" s="61"/>
      <c r="AA1004" s="61"/>
      <c r="AB1004" s="61"/>
      <c r="AC1004" s="61"/>
    </row>
    <row r="1005" ht="15.75" customHeight="1">
      <c r="A1005" s="61"/>
      <c r="B1005" s="61"/>
      <c r="C1005" s="61"/>
      <c r="D1005" s="61"/>
      <c r="E1005" s="61"/>
      <c r="F1005" s="61"/>
      <c r="G1005" s="61"/>
      <c r="H1005" s="61"/>
      <c r="I1005" s="61"/>
      <c r="J1005" s="61"/>
      <c r="K1005" s="61"/>
      <c r="L1005" s="61"/>
      <c r="M1005" s="61"/>
      <c r="N1005" s="61"/>
      <c r="O1005" s="61"/>
      <c r="P1005" s="61"/>
      <c r="Q1005" s="61"/>
      <c r="R1005" s="61"/>
      <c r="S1005" s="61"/>
      <c r="T1005" s="61"/>
      <c r="U1005" s="61"/>
      <c r="V1005" s="61"/>
      <c r="W1005" s="61"/>
      <c r="X1005" s="61"/>
      <c r="Y1005" s="61"/>
      <c r="Z1005" s="61"/>
      <c r="AA1005" s="61"/>
      <c r="AB1005" s="61"/>
      <c r="AC1005" s="61"/>
    </row>
    <row r="1006" ht="15.75" customHeight="1">
      <c r="A1006" s="61"/>
      <c r="B1006" s="61"/>
      <c r="C1006" s="61"/>
      <c r="D1006" s="61"/>
      <c r="E1006" s="61"/>
      <c r="F1006" s="61"/>
      <c r="G1006" s="61"/>
      <c r="H1006" s="61"/>
      <c r="I1006" s="61"/>
      <c r="J1006" s="61"/>
      <c r="K1006" s="61"/>
      <c r="L1006" s="61"/>
      <c r="M1006" s="61"/>
      <c r="N1006" s="61"/>
      <c r="O1006" s="61"/>
      <c r="P1006" s="61"/>
      <c r="Q1006" s="61"/>
      <c r="R1006" s="61"/>
      <c r="S1006" s="61"/>
      <c r="T1006" s="61"/>
      <c r="U1006" s="61"/>
      <c r="V1006" s="61"/>
      <c r="W1006" s="61"/>
      <c r="X1006" s="61"/>
      <c r="Y1006" s="61"/>
      <c r="Z1006" s="61"/>
      <c r="AA1006" s="61"/>
      <c r="AB1006" s="61"/>
      <c r="AC1006" s="61"/>
    </row>
    <row r="1007" ht="15.75" customHeight="1">
      <c r="A1007" s="61"/>
      <c r="B1007" s="61"/>
      <c r="C1007" s="61"/>
      <c r="D1007" s="61"/>
      <c r="E1007" s="61"/>
      <c r="F1007" s="61"/>
      <c r="G1007" s="61"/>
      <c r="H1007" s="61"/>
      <c r="I1007" s="61"/>
      <c r="J1007" s="61"/>
      <c r="K1007" s="61"/>
      <c r="L1007" s="61"/>
      <c r="M1007" s="61"/>
      <c r="N1007" s="61"/>
      <c r="O1007" s="61"/>
      <c r="P1007" s="61"/>
      <c r="Q1007" s="61"/>
      <c r="R1007" s="61"/>
      <c r="S1007" s="61"/>
      <c r="T1007" s="61"/>
      <c r="U1007" s="61"/>
      <c r="V1007" s="61"/>
      <c r="W1007" s="61"/>
      <c r="X1007" s="61"/>
      <c r="Y1007" s="61"/>
      <c r="Z1007" s="61"/>
      <c r="AA1007" s="61"/>
      <c r="AB1007" s="61"/>
      <c r="AC1007" s="61"/>
    </row>
    <row r="1008" ht="15.75" customHeight="1">
      <c r="A1008" s="61"/>
      <c r="B1008" s="61"/>
      <c r="C1008" s="61"/>
      <c r="D1008" s="61"/>
      <c r="E1008" s="61"/>
      <c r="F1008" s="61"/>
      <c r="G1008" s="61"/>
      <c r="H1008" s="61"/>
      <c r="I1008" s="61"/>
      <c r="J1008" s="61"/>
      <c r="K1008" s="61"/>
      <c r="L1008" s="61"/>
      <c r="M1008" s="61"/>
      <c r="N1008" s="61"/>
      <c r="O1008" s="61"/>
      <c r="P1008" s="61"/>
      <c r="Q1008" s="61"/>
      <c r="R1008" s="61"/>
      <c r="S1008" s="61"/>
      <c r="T1008" s="61"/>
      <c r="U1008" s="61"/>
      <c r="V1008" s="61"/>
      <c r="W1008" s="61"/>
      <c r="X1008" s="61"/>
      <c r="Y1008" s="61"/>
      <c r="Z1008" s="61"/>
      <c r="AA1008" s="61"/>
      <c r="AB1008" s="61"/>
      <c r="AC1008" s="61"/>
    </row>
    <row r="1009" ht="15.75" customHeight="1">
      <c r="A1009" s="61"/>
      <c r="B1009" s="61"/>
      <c r="C1009" s="61"/>
      <c r="D1009" s="61"/>
      <c r="E1009" s="61"/>
      <c r="F1009" s="61"/>
      <c r="G1009" s="61"/>
      <c r="H1009" s="61"/>
      <c r="I1009" s="61"/>
      <c r="J1009" s="61"/>
      <c r="K1009" s="61"/>
      <c r="L1009" s="61"/>
      <c r="M1009" s="61"/>
      <c r="N1009" s="61"/>
      <c r="O1009" s="61"/>
      <c r="P1009" s="61"/>
      <c r="Q1009" s="61"/>
      <c r="R1009" s="61"/>
      <c r="S1009" s="61"/>
      <c r="T1009" s="61"/>
      <c r="U1009" s="61"/>
      <c r="V1009" s="61"/>
      <c r="W1009" s="61"/>
      <c r="X1009" s="61"/>
      <c r="Y1009" s="61"/>
      <c r="Z1009" s="61"/>
      <c r="AA1009" s="61"/>
      <c r="AB1009" s="61"/>
      <c r="AC1009" s="61"/>
    </row>
    <row r="1010" ht="15.75" customHeight="1">
      <c r="A1010" s="61"/>
      <c r="B1010" s="61"/>
      <c r="C1010" s="61"/>
      <c r="D1010" s="61"/>
      <c r="E1010" s="61"/>
      <c r="F1010" s="61"/>
      <c r="G1010" s="61"/>
      <c r="H1010" s="61"/>
      <c r="I1010" s="61"/>
      <c r="J1010" s="61"/>
      <c r="K1010" s="61"/>
      <c r="L1010" s="61"/>
      <c r="M1010" s="61"/>
      <c r="N1010" s="61"/>
      <c r="O1010" s="61"/>
      <c r="P1010" s="61"/>
      <c r="Q1010" s="61"/>
      <c r="R1010" s="61"/>
      <c r="S1010" s="61"/>
      <c r="T1010" s="61"/>
      <c r="U1010" s="61"/>
      <c r="V1010" s="61"/>
      <c r="W1010" s="61"/>
      <c r="X1010" s="61"/>
      <c r="Y1010" s="61"/>
      <c r="Z1010" s="61"/>
      <c r="AA1010" s="61"/>
      <c r="AB1010" s="61"/>
      <c r="AC1010" s="61"/>
    </row>
    <row r="1011" ht="15.75" customHeight="1">
      <c r="A1011" s="61"/>
      <c r="B1011" s="61"/>
      <c r="C1011" s="61"/>
      <c r="D1011" s="61"/>
      <c r="E1011" s="61"/>
      <c r="F1011" s="61"/>
      <c r="G1011" s="61"/>
      <c r="H1011" s="61"/>
      <c r="I1011" s="61"/>
      <c r="J1011" s="61"/>
      <c r="K1011" s="61"/>
      <c r="L1011" s="61"/>
      <c r="M1011" s="61"/>
      <c r="N1011" s="61"/>
      <c r="O1011" s="61"/>
      <c r="P1011" s="61"/>
      <c r="Q1011" s="61"/>
      <c r="R1011" s="61"/>
      <c r="S1011" s="61"/>
      <c r="T1011" s="61"/>
      <c r="U1011" s="61"/>
      <c r="V1011" s="61"/>
      <c r="W1011" s="61"/>
      <c r="X1011" s="61"/>
      <c r="Y1011" s="61"/>
      <c r="Z1011" s="61"/>
      <c r="AA1011" s="61"/>
      <c r="AB1011" s="61"/>
      <c r="AC1011" s="61"/>
    </row>
    <row r="1012" ht="15.75" customHeight="1">
      <c r="A1012" s="61"/>
      <c r="B1012" s="61"/>
      <c r="C1012" s="61"/>
      <c r="D1012" s="61"/>
      <c r="E1012" s="61"/>
      <c r="F1012" s="61"/>
      <c r="G1012" s="61"/>
      <c r="H1012" s="61"/>
      <c r="I1012" s="61"/>
      <c r="J1012" s="61"/>
      <c r="K1012" s="61"/>
      <c r="L1012" s="61"/>
      <c r="M1012" s="61"/>
      <c r="N1012" s="61"/>
      <c r="O1012" s="61"/>
      <c r="P1012" s="61"/>
      <c r="Q1012" s="61"/>
      <c r="R1012" s="61"/>
      <c r="S1012" s="61"/>
      <c r="T1012" s="61"/>
      <c r="U1012" s="61"/>
      <c r="V1012" s="61"/>
      <c r="W1012" s="61"/>
      <c r="X1012" s="61"/>
      <c r="Y1012" s="61"/>
      <c r="Z1012" s="61"/>
      <c r="AA1012" s="61"/>
      <c r="AB1012" s="61"/>
      <c r="AC1012" s="61"/>
    </row>
    <row r="1013" ht="15.75" customHeight="1">
      <c r="A1013" s="61"/>
      <c r="B1013" s="61"/>
      <c r="C1013" s="61"/>
      <c r="D1013" s="61"/>
      <c r="E1013" s="61"/>
      <c r="F1013" s="61"/>
      <c r="G1013" s="61"/>
      <c r="H1013" s="61"/>
      <c r="I1013" s="61"/>
      <c r="J1013" s="61"/>
      <c r="K1013" s="61"/>
      <c r="L1013" s="61"/>
      <c r="M1013" s="61"/>
      <c r="N1013" s="61"/>
      <c r="O1013" s="61"/>
      <c r="P1013" s="61"/>
      <c r="Q1013" s="61"/>
      <c r="R1013" s="61"/>
      <c r="S1013" s="61"/>
      <c r="T1013" s="61"/>
      <c r="U1013" s="61"/>
      <c r="V1013" s="61"/>
      <c r="W1013" s="61"/>
      <c r="X1013" s="61"/>
      <c r="Y1013" s="61"/>
      <c r="Z1013" s="61"/>
      <c r="AA1013" s="61"/>
      <c r="AB1013" s="61"/>
      <c r="AC1013" s="61"/>
    </row>
    <row r="1014" ht="15.75" customHeight="1">
      <c r="A1014" s="61"/>
      <c r="B1014" s="61"/>
      <c r="C1014" s="61"/>
      <c r="D1014" s="61"/>
      <c r="E1014" s="61"/>
      <c r="F1014" s="61"/>
      <c r="G1014" s="61"/>
      <c r="H1014" s="61"/>
      <c r="I1014" s="61"/>
      <c r="J1014" s="61"/>
      <c r="K1014" s="61"/>
      <c r="L1014" s="61"/>
      <c r="M1014" s="61"/>
      <c r="N1014" s="61"/>
      <c r="O1014" s="61"/>
      <c r="P1014" s="61"/>
      <c r="Q1014" s="61"/>
      <c r="R1014" s="61"/>
      <c r="S1014" s="61"/>
      <c r="T1014" s="61"/>
      <c r="U1014" s="61"/>
      <c r="V1014" s="61"/>
      <c r="W1014" s="61"/>
      <c r="X1014" s="61"/>
      <c r="Y1014" s="61"/>
      <c r="Z1014" s="61"/>
      <c r="AA1014" s="61"/>
      <c r="AB1014" s="61"/>
      <c r="AC1014" s="61"/>
    </row>
    <row r="1015" ht="15.75" customHeight="1">
      <c r="A1015" s="61"/>
      <c r="B1015" s="61"/>
      <c r="C1015" s="61"/>
      <c r="D1015" s="61"/>
      <c r="E1015" s="61"/>
      <c r="F1015" s="61"/>
      <c r="G1015" s="61"/>
      <c r="H1015" s="61"/>
      <c r="I1015" s="61"/>
      <c r="J1015" s="61"/>
      <c r="K1015" s="61"/>
      <c r="L1015" s="61"/>
      <c r="M1015" s="61"/>
      <c r="N1015" s="61"/>
      <c r="O1015" s="61"/>
      <c r="P1015" s="61"/>
      <c r="Q1015" s="61"/>
      <c r="R1015" s="61"/>
      <c r="S1015" s="61"/>
      <c r="T1015" s="61"/>
      <c r="U1015" s="61"/>
      <c r="V1015" s="61"/>
      <c r="W1015" s="61"/>
      <c r="X1015" s="61"/>
      <c r="Y1015" s="61"/>
      <c r="Z1015" s="61"/>
      <c r="AA1015" s="61"/>
      <c r="AB1015" s="61"/>
      <c r="AC1015" s="61"/>
    </row>
    <row r="1016" ht="15.75" customHeight="1">
      <c r="A1016" s="61"/>
      <c r="B1016" s="61"/>
      <c r="C1016" s="61"/>
      <c r="D1016" s="61"/>
      <c r="E1016" s="61"/>
      <c r="F1016" s="61"/>
      <c r="G1016" s="61"/>
      <c r="H1016" s="61"/>
      <c r="I1016" s="61"/>
      <c r="J1016" s="61"/>
      <c r="K1016" s="61"/>
      <c r="L1016" s="61"/>
      <c r="M1016" s="61"/>
      <c r="N1016" s="61"/>
      <c r="O1016" s="61"/>
      <c r="P1016" s="61"/>
      <c r="Q1016" s="61"/>
      <c r="R1016" s="61"/>
      <c r="S1016" s="61"/>
      <c r="T1016" s="61"/>
      <c r="U1016" s="61"/>
      <c r="V1016" s="61"/>
      <c r="W1016" s="61"/>
      <c r="X1016" s="61"/>
      <c r="Y1016" s="61"/>
      <c r="Z1016" s="61"/>
      <c r="AA1016" s="61"/>
      <c r="AB1016" s="61"/>
      <c r="AC1016" s="61"/>
    </row>
    <row r="1017" ht="15.75" customHeight="1">
      <c r="A1017" s="61"/>
      <c r="B1017" s="61"/>
      <c r="C1017" s="61"/>
      <c r="D1017" s="61"/>
      <c r="E1017" s="61"/>
      <c r="F1017" s="61"/>
      <c r="G1017" s="61"/>
      <c r="H1017" s="61"/>
      <c r="I1017" s="61"/>
      <c r="J1017" s="61"/>
      <c r="K1017" s="61"/>
      <c r="L1017" s="61"/>
      <c r="M1017" s="61"/>
      <c r="N1017" s="61"/>
      <c r="O1017" s="61"/>
      <c r="P1017" s="61"/>
      <c r="Q1017" s="61"/>
      <c r="R1017" s="61"/>
      <c r="S1017" s="61"/>
      <c r="T1017" s="61"/>
      <c r="U1017" s="61"/>
      <c r="V1017" s="61"/>
      <c r="W1017" s="61"/>
      <c r="X1017" s="61"/>
      <c r="Y1017" s="61"/>
      <c r="Z1017" s="61"/>
      <c r="AA1017" s="61"/>
      <c r="AB1017" s="61"/>
      <c r="AC1017" s="61"/>
    </row>
    <row r="1018" ht="15.75" customHeight="1">
      <c r="A1018" s="61"/>
      <c r="B1018" s="61"/>
      <c r="C1018" s="61"/>
      <c r="D1018" s="61"/>
      <c r="E1018" s="61"/>
      <c r="F1018" s="61"/>
      <c r="G1018" s="61"/>
      <c r="H1018" s="61"/>
      <c r="I1018" s="61"/>
      <c r="J1018" s="61"/>
      <c r="K1018" s="61"/>
      <c r="L1018" s="61"/>
      <c r="M1018" s="61"/>
      <c r="N1018" s="61"/>
      <c r="O1018" s="61"/>
      <c r="P1018" s="61"/>
      <c r="Q1018" s="61"/>
      <c r="R1018" s="61"/>
      <c r="S1018" s="61"/>
      <c r="T1018" s="61"/>
      <c r="U1018" s="61"/>
      <c r="V1018" s="61"/>
      <c r="W1018" s="61"/>
      <c r="X1018" s="61"/>
      <c r="Y1018" s="61"/>
      <c r="Z1018" s="61"/>
      <c r="AA1018" s="61"/>
      <c r="AB1018" s="61"/>
      <c r="AC1018" s="61"/>
    </row>
    <row r="1019" ht="15.75" customHeight="1">
      <c r="A1019" s="61"/>
      <c r="B1019" s="61"/>
      <c r="C1019" s="61"/>
      <c r="D1019" s="61"/>
      <c r="E1019" s="61"/>
      <c r="F1019" s="61"/>
      <c r="G1019" s="61"/>
      <c r="H1019" s="61"/>
      <c r="I1019" s="61"/>
      <c r="J1019" s="61"/>
      <c r="K1019" s="61"/>
      <c r="L1019" s="61"/>
      <c r="M1019" s="61"/>
      <c r="N1019" s="61"/>
      <c r="O1019" s="61"/>
      <c r="P1019" s="61"/>
      <c r="Q1019" s="61"/>
      <c r="R1019" s="61"/>
      <c r="S1019" s="61"/>
      <c r="T1019" s="61"/>
      <c r="U1019" s="61"/>
      <c r="V1019" s="61"/>
      <c r="W1019" s="61"/>
      <c r="X1019" s="61"/>
      <c r="Y1019" s="61"/>
      <c r="Z1019" s="61"/>
      <c r="AA1019" s="61"/>
      <c r="AB1019" s="61"/>
      <c r="AC1019" s="61"/>
    </row>
    <row r="1020" ht="15.75" customHeight="1">
      <c r="A1020" s="61"/>
      <c r="B1020" s="61"/>
      <c r="C1020" s="61"/>
      <c r="D1020" s="61"/>
      <c r="E1020" s="61"/>
      <c r="F1020" s="61"/>
      <c r="G1020" s="61"/>
      <c r="H1020" s="61"/>
      <c r="I1020" s="61"/>
      <c r="J1020" s="61"/>
      <c r="K1020" s="61"/>
      <c r="L1020" s="61"/>
      <c r="M1020" s="61"/>
      <c r="N1020" s="61"/>
      <c r="O1020" s="61"/>
      <c r="P1020" s="61"/>
      <c r="Q1020" s="61"/>
      <c r="R1020" s="61"/>
      <c r="S1020" s="61"/>
      <c r="T1020" s="61"/>
      <c r="U1020" s="61"/>
      <c r="V1020" s="61"/>
      <c r="W1020" s="61"/>
      <c r="X1020" s="61"/>
      <c r="Y1020" s="61"/>
      <c r="Z1020" s="61"/>
      <c r="AA1020" s="61"/>
      <c r="AB1020" s="61"/>
      <c r="AC1020" s="61"/>
    </row>
    <row r="1021" ht="15.75" customHeight="1">
      <c r="A1021" s="61"/>
      <c r="B1021" s="61"/>
      <c r="C1021" s="61"/>
      <c r="D1021" s="61"/>
      <c r="E1021" s="61"/>
      <c r="F1021" s="61"/>
      <c r="G1021" s="61"/>
      <c r="H1021" s="61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1"/>
      <c r="V1021" s="61"/>
      <c r="W1021" s="61"/>
      <c r="X1021" s="61"/>
      <c r="Y1021" s="61"/>
      <c r="Z1021" s="61"/>
      <c r="AA1021" s="61"/>
      <c r="AB1021" s="61"/>
      <c r="AC1021" s="61"/>
    </row>
    <row r="1022" ht="15.75" customHeight="1">
      <c r="A1022" s="61"/>
      <c r="B1022" s="61"/>
      <c r="C1022" s="61"/>
      <c r="D1022" s="61"/>
      <c r="E1022" s="61"/>
      <c r="F1022" s="61"/>
      <c r="G1022" s="61"/>
      <c r="H1022" s="61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1"/>
      <c r="V1022" s="61"/>
      <c r="W1022" s="61"/>
      <c r="X1022" s="61"/>
      <c r="Y1022" s="61"/>
      <c r="Z1022" s="61"/>
      <c r="AA1022" s="61"/>
      <c r="AB1022" s="61"/>
      <c r="AC1022" s="61"/>
    </row>
    <row r="1023" ht="15.75" customHeight="1">
      <c r="A1023" s="61"/>
      <c r="B1023" s="61"/>
      <c r="C1023" s="61"/>
      <c r="D1023" s="61"/>
      <c r="E1023" s="61"/>
      <c r="F1023" s="61"/>
      <c r="G1023" s="61"/>
      <c r="H1023" s="61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1"/>
      <c r="V1023" s="61"/>
      <c r="W1023" s="61"/>
      <c r="X1023" s="61"/>
      <c r="Y1023" s="61"/>
      <c r="Z1023" s="61"/>
      <c r="AA1023" s="61"/>
      <c r="AB1023" s="61"/>
      <c r="AC1023" s="61"/>
    </row>
    <row r="1024" ht="15.75" customHeight="1">
      <c r="A1024" s="61"/>
      <c r="B1024" s="61"/>
      <c r="C1024" s="61"/>
      <c r="D1024" s="61"/>
      <c r="E1024" s="61"/>
      <c r="F1024" s="61"/>
      <c r="G1024" s="61"/>
      <c r="H1024" s="61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1"/>
      <c r="V1024" s="61"/>
      <c r="W1024" s="61"/>
      <c r="X1024" s="61"/>
      <c r="Y1024" s="61"/>
      <c r="Z1024" s="61"/>
      <c r="AA1024" s="61"/>
      <c r="AB1024" s="61"/>
      <c r="AC1024" s="61"/>
    </row>
    <row r="1025" ht="15.75" customHeight="1">
      <c r="A1025" s="61"/>
      <c r="B1025" s="61"/>
      <c r="C1025" s="61"/>
      <c r="D1025" s="61"/>
      <c r="E1025" s="61"/>
      <c r="F1025" s="61"/>
      <c r="G1025" s="61"/>
      <c r="H1025" s="61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1"/>
      <c r="V1025" s="61"/>
      <c r="W1025" s="61"/>
      <c r="X1025" s="61"/>
      <c r="Y1025" s="61"/>
      <c r="Z1025" s="61"/>
      <c r="AA1025" s="61"/>
      <c r="AB1025" s="61"/>
      <c r="AC1025" s="61"/>
    </row>
    <row r="1026" ht="15.75" customHeight="1">
      <c r="A1026" s="61"/>
      <c r="B1026" s="61"/>
      <c r="C1026" s="61"/>
      <c r="D1026" s="61"/>
      <c r="E1026" s="61"/>
      <c r="F1026" s="61"/>
      <c r="G1026" s="61"/>
      <c r="H1026" s="61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1"/>
      <c r="V1026" s="61"/>
      <c r="W1026" s="61"/>
      <c r="X1026" s="61"/>
      <c r="Y1026" s="61"/>
      <c r="Z1026" s="61"/>
      <c r="AA1026" s="61"/>
      <c r="AB1026" s="61"/>
      <c r="AC1026" s="61"/>
    </row>
    <row r="1027" ht="15.75" customHeight="1">
      <c r="A1027" s="61"/>
      <c r="B1027" s="61"/>
      <c r="C1027" s="61"/>
      <c r="D1027" s="61"/>
      <c r="E1027" s="61"/>
      <c r="F1027" s="61"/>
      <c r="G1027" s="61"/>
      <c r="H1027" s="61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1"/>
      <c r="V1027" s="61"/>
      <c r="W1027" s="61"/>
      <c r="X1027" s="61"/>
      <c r="Y1027" s="61"/>
      <c r="Z1027" s="61"/>
      <c r="AA1027" s="61"/>
      <c r="AB1027" s="61"/>
      <c r="AC1027" s="61"/>
    </row>
    <row r="1028" ht="15.75" customHeight="1">
      <c r="A1028" s="61"/>
      <c r="B1028" s="61"/>
      <c r="C1028" s="61"/>
      <c r="D1028" s="61"/>
      <c r="E1028" s="61"/>
      <c r="F1028" s="61"/>
      <c r="G1028" s="61"/>
      <c r="H1028" s="61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1"/>
      <c r="V1028" s="61"/>
      <c r="W1028" s="61"/>
      <c r="X1028" s="61"/>
      <c r="Y1028" s="61"/>
      <c r="Z1028" s="61"/>
      <c r="AA1028" s="61"/>
      <c r="AB1028" s="61"/>
      <c r="AC1028" s="61"/>
    </row>
    <row r="1029" ht="15.75" customHeight="1">
      <c r="A1029" s="61"/>
      <c r="B1029" s="61"/>
      <c r="C1029" s="61"/>
      <c r="D1029" s="61"/>
      <c r="E1029" s="61"/>
      <c r="F1029" s="61"/>
      <c r="G1029" s="61"/>
      <c r="H1029" s="61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1"/>
      <c r="V1029" s="61"/>
      <c r="W1029" s="61"/>
      <c r="X1029" s="61"/>
      <c r="Y1029" s="61"/>
      <c r="Z1029" s="61"/>
      <c r="AA1029" s="61"/>
      <c r="AB1029" s="61"/>
      <c r="AC1029" s="61"/>
    </row>
    <row r="1030" ht="15.75" customHeight="1">
      <c r="A1030" s="61"/>
      <c r="B1030" s="61"/>
      <c r="C1030" s="61"/>
      <c r="D1030" s="61"/>
      <c r="E1030" s="61"/>
      <c r="F1030" s="61"/>
      <c r="G1030" s="61"/>
      <c r="H1030" s="61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1"/>
      <c r="V1030" s="61"/>
      <c r="W1030" s="61"/>
      <c r="X1030" s="61"/>
      <c r="Y1030" s="61"/>
      <c r="Z1030" s="61"/>
      <c r="AA1030" s="61"/>
      <c r="AB1030" s="61"/>
      <c r="AC1030" s="61"/>
    </row>
    <row r="1031" ht="15.75" customHeight="1">
      <c r="A1031" s="61"/>
      <c r="B1031" s="61"/>
      <c r="C1031" s="61"/>
      <c r="D1031" s="61"/>
      <c r="E1031" s="61"/>
      <c r="F1031" s="61"/>
      <c r="G1031" s="61"/>
      <c r="H1031" s="61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1"/>
      <c r="V1031" s="61"/>
      <c r="W1031" s="61"/>
      <c r="X1031" s="61"/>
      <c r="Y1031" s="61"/>
      <c r="Z1031" s="61"/>
      <c r="AA1031" s="61"/>
      <c r="AB1031" s="61"/>
      <c r="AC1031" s="61"/>
    </row>
    <row r="1032" ht="15.75" customHeight="1">
      <c r="A1032" s="61"/>
      <c r="B1032" s="61"/>
      <c r="C1032" s="61"/>
      <c r="D1032" s="61"/>
      <c r="E1032" s="61"/>
      <c r="F1032" s="61"/>
      <c r="G1032" s="61"/>
      <c r="H1032" s="61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1"/>
      <c r="V1032" s="61"/>
      <c r="W1032" s="61"/>
      <c r="X1032" s="61"/>
      <c r="Y1032" s="61"/>
      <c r="Z1032" s="61"/>
      <c r="AA1032" s="61"/>
      <c r="AB1032" s="61"/>
      <c r="AC1032" s="61"/>
    </row>
    <row r="1033" ht="15.75" customHeight="1">
      <c r="A1033" s="61"/>
      <c r="B1033" s="61"/>
      <c r="C1033" s="61"/>
      <c r="D1033" s="61"/>
      <c r="E1033" s="61"/>
      <c r="F1033" s="61"/>
      <c r="G1033" s="61"/>
      <c r="H1033" s="61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1"/>
      <c r="V1033" s="61"/>
      <c r="W1033" s="61"/>
      <c r="X1033" s="61"/>
      <c r="Y1033" s="61"/>
      <c r="Z1033" s="61"/>
      <c r="AA1033" s="61"/>
      <c r="AB1033" s="61"/>
      <c r="AC1033" s="61"/>
    </row>
    <row r="1034" ht="15.75" customHeight="1">
      <c r="A1034" s="61"/>
      <c r="B1034" s="61"/>
      <c r="C1034" s="61"/>
      <c r="D1034" s="61"/>
      <c r="E1034" s="61"/>
      <c r="F1034" s="61"/>
      <c r="G1034" s="61"/>
      <c r="H1034" s="61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1"/>
      <c r="V1034" s="61"/>
      <c r="W1034" s="61"/>
      <c r="X1034" s="61"/>
      <c r="Y1034" s="61"/>
      <c r="Z1034" s="61"/>
      <c r="AA1034" s="61"/>
      <c r="AB1034" s="61"/>
      <c r="AC1034" s="61"/>
    </row>
    <row r="1035" ht="15.75" customHeight="1">
      <c r="A1035" s="61"/>
      <c r="B1035" s="61"/>
      <c r="C1035" s="61"/>
      <c r="D1035" s="61"/>
      <c r="E1035" s="61"/>
      <c r="F1035" s="61"/>
      <c r="G1035" s="61"/>
      <c r="H1035" s="61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1"/>
      <c r="V1035" s="61"/>
      <c r="W1035" s="61"/>
      <c r="X1035" s="61"/>
      <c r="Y1035" s="61"/>
      <c r="Z1035" s="61"/>
      <c r="AA1035" s="61"/>
      <c r="AB1035" s="61"/>
      <c r="AC1035" s="61"/>
    </row>
    <row r="1036" ht="15.75" customHeight="1">
      <c r="A1036" s="61"/>
      <c r="B1036" s="61"/>
      <c r="C1036" s="61"/>
      <c r="D1036" s="61"/>
      <c r="E1036" s="61"/>
      <c r="F1036" s="61"/>
      <c r="G1036" s="61"/>
      <c r="H1036" s="61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1"/>
      <c r="V1036" s="61"/>
      <c r="W1036" s="61"/>
      <c r="X1036" s="61"/>
      <c r="Y1036" s="61"/>
      <c r="Z1036" s="61"/>
      <c r="AA1036" s="61"/>
      <c r="AB1036" s="61"/>
      <c r="AC1036" s="61"/>
    </row>
    <row r="1037" ht="15.75" customHeight="1">
      <c r="A1037" s="61"/>
      <c r="B1037" s="61"/>
      <c r="C1037" s="61"/>
      <c r="D1037" s="61"/>
      <c r="E1037" s="61"/>
      <c r="F1037" s="61"/>
      <c r="G1037" s="61"/>
      <c r="H1037" s="61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1"/>
      <c r="V1037" s="61"/>
      <c r="W1037" s="61"/>
      <c r="X1037" s="61"/>
      <c r="Y1037" s="61"/>
      <c r="Z1037" s="61"/>
      <c r="AA1037" s="61"/>
      <c r="AB1037" s="61"/>
      <c r="AC1037" s="61"/>
    </row>
    <row r="1038" ht="15.75" customHeight="1">
      <c r="A1038" s="61"/>
      <c r="B1038" s="61"/>
      <c r="C1038" s="61"/>
      <c r="D1038" s="61"/>
      <c r="E1038" s="61"/>
      <c r="F1038" s="61"/>
      <c r="G1038" s="61"/>
      <c r="H1038" s="61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1"/>
      <c r="V1038" s="61"/>
      <c r="W1038" s="61"/>
      <c r="X1038" s="61"/>
      <c r="Y1038" s="61"/>
      <c r="Z1038" s="61"/>
      <c r="AA1038" s="61"/>
      <c r="AB1038" s="61"/>
      <c r="AC1038" s="61"/>
    </row>
    <row r="1039" ht="15.75" customHeight="1">
      <c r="A1039" s="61"/>
      <c r="B1039" s="61"/>
      <c r="C1039" s="61"/>
      <c r="D1039" s="61"/>
      <c r="E1039" s="61"/>
      <c r="F1039" s="61"/>
      <c r="G1039" s="61"/>
      <c r="H1039" s="61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1"/>
      <c r="V1039" s="61"/>
      <c r="W1039" s="61"/>
      <c r="X1039" s="61"/>
      <c r="Y1039" s="61"/>
      <c r="Z1039" s="61"/>
      <c r="AA1039" s="61"/>
      <c r="AB1039" s="61"/>
      <c r="AC1039" s="61"/>
    </row>
    <row r="1040" ht="15.75" customHeight="1">
      <c r="A1040" s="61"/>
      <c r="B1040" s="61"/>
      <c r="C1040" s="61"/>
      <c r="D1040" s="61"/>
      <c r="E1040" s="61"/>
      <c r="F1040" s="61"/>
      <c r="G1040" s="61"/>
      <c r="H1040" s="61"/>
      <c r="I1040" s="61"/>
      <c r="J1040" s="61"/>
      <c r="K1040" s="61"/>
      <c r="L1040" s="61"/>
      <c r="M1040" s="61"/>
      <c r="N1040" s="61"/>
      <c r="O1040" s="61"/>
      <c r="P1040" s="61"/>
      <c r="Q1040" s="61"/>
      <c r="R1040" s="61"/>
      <c r="S1040" s="61"/>
      <c r="T1040" s="61"/>
      <c r="U1040" s="61"/>
      <c r="V1040" s="61"/>
      <c r="W1040" s="61"/>
      <c r="X1040" s="61"/>
      <c r="Y1040" s="61"/>
      <c r="Z1040" s="61"/>
      <c r="AA1040" s="61"/>
      <c r="AB1040" s="61"/>
      <c r="AC1040" s="61"/>
    </row>
    <row r="1041" ht="15.75" customHeight="1">
      <c r="A1041" s="61"/>
      <c r="B1041" s="61"/>
      <c r="C1041" s="61"/>
      <c r="D1041" s="61"/>
      <c r="E1041" s="61"/>
      <c r="F1041" s="61"/>
      <c r="G1041" s="61"/>
      <c r="H1041" s="61"/>
      <c r="I1041" s="61"/>
      <c r="J1041" s="61"/>
      <c r="K1041" s="61"/>
      <c r="L1041" s="61"/>
      <c r="M1041" s="61"/>
      <c r="N1041" s="61"/>
      <c r="O1041" s="61"/>
      <c r="P1041" s="61"/>
      <c r="Q1041" s="61"/>
      <c r="R1041" s="61"/>
      <c r="S1041" s="61"/>
      <c r="T1041" s="61"/>
      <c r="U1041" s="61"/>
      <c r="V1041" s="61"/>
      <c r="W1041" s="61"/>
      <c r="X1041" s="61"/>
      <c r="Y1041" s="61"/>
      <c r="Z1041" s="61"/>
      <c r="AA1041" s="61"/>
      <c r="AB1041" s="61"/>
      <c r="AC1041" s="61"/>
    </row>
    <row r="1042" ht="15.75" customHeight="1">
      <c r="A1042" s="61"/>
      <c r="B1042" s="61"/>
      <c r="C1042" s="61"/>
      <c r="D1042" s="61"/>
      <c r="E1042" s="61"/>
      <c r="F1042" s="61"/>
      <c r="G1042" s="61"/>
      <c r="H1042" s="61"/>
      <c r="I1042" s="61"/>
      <c r="J1042" s="61"/>
      <c r="K1042" s="61"/>
      <c r="L1042" s="61"/>
      <c r="M1042" s="61"/>
      <c r="N1042" s="61"/>
      <c r="O1042" s="61"/>
      <c r="P1042" s="61"/>
      <c r="Q1042" s="61"/>
      <c r="R1042" s="61"/>
      <c r="S1042" s="61"/>
      <c r="T1042" s="61"/>
      <c r="U1042" s="61"/>
      <c r="V1042" s="61"/>
      <c r="W1042" s="61"/>
      <c r="X1042" s="61"/>
      <c r="Y1042" s="61"/>
      <c r="Z1042" s="61"/>
      <c r="AA1042" s="61"/>
      <c r="AB1042" s="61"/>
      <c r="AC1042" s="61"/>
    </row>
    <row r="1043" ht="15.75" customHeight="1">
      <c r="A1043" s="61"/>
      <c r="B1043" s="61"/>
      <c r="C1043" s="61"/>
      <c r="D1043" s="61"/>
      <c r="E1043" s="61"/>
      <c r="F1043" s="61"/>
      <c r="G1043" s="61"/>
      <c r="H1043" s="61"/>
      <c r="I1043" s="61"/>
      <c r="J1043" s="61"/>
      <c r="K1043" s="61"/>
      <c r="L1043" s="61"/>
      <c r="M1043" s="61"/>
      <c r="N1043" s="61"/>
      <c r="O1043" s="61"/>
      <c r="P1043" s="61"/>
      <c r="Q1043" s="61"/>
      <c r="R1043" s="61"/>
      <c r="S1043" s="61"/>
      <c r="T1043" s="61"/>
      <c r="U1043" s="61"/>
      <c r="V1043" s="61"/>
      <c r="W1043" s="61"/>
      <c r="X1043" s="61"/>
      <c r="Y1043" s="61"/>
      <c r="Z1043" s="61"/>
      <c r="AA1043" s="61"/>
      <c r="AB1043" s="61"/>
      <c r="AC1043" s="61"/>
    </row>
    <row r="1044" ht="15.75" customHeight="1">
      <c r="A1044" s="61"/>
      <c r="B1044" s="61"/>
      <c r="C1044" s="61"/>
      <c r="D1044" s="61"/>
      <c r="E1044" s="61"/>
      <c r="F1044" s="61"/>
      <c r="G1044" s="61"/>
      <c r="H1044" s="61"/>
      <c r="I1044" s="61"/>
      <c r="J1044" s="61"/>
      <c r="K1044" s="61"/>
      <c r="L1044" s="61"/>
      <c r="M1044" s="61"/>
      <c r="N1044" s="61"/>
      <c r="O1044" s="61"/>
      <c r="P1044" s="61"/>
      <c r="Q1044" s="61"/>
      <c r="R1044" s="61"/>
      <c r="S1044" s="61"/>
      <c r="T1044" s="61"/>
      <c r="U1044" s="61"/>
      <c r="V1044" s="61"/>
      <c r="W1044" s="61"/>
      <c r="X1044" s="61"/>
      <c r="Y1044" s="61"/>
      <c r="Z1044" s="61"/>
      <c r="AA1044" s="61"/>
      <c r="AB1044" s="61"/>
      <c r="AC1044" s="61"/>
    </row>
    <row r="1045" ht="15.75" customHeight="1">
      <c r="A1045" s="61"/>
      <c r="B1045" s="61"/>
      <c r="C1045" s="61"/>
      <c r="D1045" s="61"/>
      <c r="E1045" s="61"/>
      <c r="F1045" s="61"/>
      <c r="G1045" s="61"/>
      <c r="H1045" s="61"/>
      <c r="I1045" s="61"/>
      <c r="J1045" s="61"/>
      <c r="K1045" s="61"/>
      <c r="L1045" s="61"/>
      <c r="M1045" s="61"/>
      <c r="N1045" s="61"/>
      <c r="O1045" s="61"/>
      <c r="P1045" s="61"/>
      <c r="Q1045" s="61"/>
      <c r="R1045" s="61"/>
      <c r="S1045" s="61"/>
      <c r="T1045" s="61"/>
      <c r="U1045" s="61"/>
      <c r="V1045" s="61"/>
      <c r="W1045" s="61"/>
      <c r="X1045" s="61"/>
      <c r="Y1045" s="61"/>
      <c r="Z1045" s="61"/>
      <c r="AA1045" s="61"/>
      <c r="AB1045" s="61"/>
      <c r="AC1045" s="61"/>
    </row>
    <row r="1046" ht="15.75" customHeight="1">
      <c r="A1046" s="61"/>
      <c r="B1046" s="61"/>
      <c r="C1046" s="61"/>
      <c r="D1046" s="61"/>
      <c r="E1046" s="61"/>
      <c r="F1046" s="61"/>
      <c r="G1046" s="61"/>
      <c r="H1046" s="61"/>
      <c r="I1046" s="61"/>
      <c r="J1046" s="61"/>
      <c r="K1046" s="61"/>
      <c r="L1046" s="61"/>
      <c r="M1046" s="61"/>
      <c r="N1046" s="61"/>
      <c r="O1046" s="61"/>
      <c r="P1046" s="61"/>
      <c r="Q1046" s="61"/>
      <c r="R1046" s="61"/>
      <c r="S1046" s="61"/>
      <c r="T1046" s="61"/>
      <c r="U1046" s="61"/>
      <c r="V1046" s="61"/>
      <c r="W1046" s="61"/>
      <c r="X1046" s="61"/>
      <c r="Y1046" s="61"/>
      <c r="Z1046" s="61"/>
      <c r="AA1046" s="61"/>
      <c r="AB1046" s="61"/>
      <c r="AC1046" s="61"/>
    </row>
    <row r="1047" ht="15.75" customHeight="1">
      <c r="A1047" s="61"/>
      <c r="B1047" s="61"/>
      <c r="C1047" s="61"/>
      <c r="D1047" s="61"/>
      <c r="E1047" s="61"/>
      <c r="F1047" s="61"/>
      <c r="G1047" s="61"/>
      <c r="H1047" s="61"/>
      <c r="I1047" s="61"/>
      <c r="J1047" s="61"/>
      <c r="K1047" s="61"/>
      <c r="L1047" s="61"/>
      <c r="M1047" s="61"/>
      <c r="N1047" s="61"/>
      <c r="O1047" s="61"/>
      <c r="P1047" s="61"/>
      <c r="Q1047" s="61"/>
      <c r="R1047" s="61"/>
      <c r="S1047" s="61"/>
      <c r="T1047" s="61"/>
      <c r="U1047" s="61"/>
      <c r="V1047" s="61"/>
      <c r="W1047" s="61"/>
      <c r="X1047" s="61"/>
      <c r="Y1047" s="61"/>
      <c r="Z1047" s="61"/>
      <c r="AA1047" s="61"/>
      <c r="AB1047" s="61"/>
      <c r="AC1047" s="61"/>
    </row>
    <row r="1048" ht="15.75" customHeight="1">
      <c r="A1048" s="61"/>
      <c r="B1048" s="61"/>
      <c r="C1048" s="61"/>
      <c r="D1048" s="61"/>
      <c r="E1048" s="61"/>
      <c r="F1048" s="61"/>
      <c r="G1048" s="61"/>
      <c r="H1048" s="61"/>
      <c r="I1048" s="61"/>
      <c r="J1048" s="61"/>
      <c r="K1048" s="61"/>
      <c r="L1048" s="61"/>
      <c r="M1048" s="61"/>
      <c r="N1048" s="61"/>
      <c r="O1048" s="61"/>
      <c r="P1048" s="61"/>
      <c r="Q1048" s="61"/>
      <c r="R1048" s="61"/>
      <c r="S1048" s="61"/>
      <c r="T1048" s="61"/>
      <c r="U1048" s="61"/>
      <c r="V1048" s="61"/>
      <c r="W1048" s="61"/>
      <c r="X1048" s="61"/>
      <c r="Y1048" s="61"/>
      <c r="Z1048" s="61"/>
      <c r="AA1048" s="61"/>
      <c r="AB1048" s="61"/>
      <c r="AC1048" s="61"/>
    </row>
    <row r="1049" ht="15.75" customHeight="1">
      <c r="A1049" s="61"/>
      <c r="B1049" s="61"/>
      <c r="C1049" s="61"/>
      <c r="D1049" s="61"/>
      <c r="E1049" s="61"/>
      <c r="F1049" s="61"/>
      <c r="G1049" s="61"/>
      <c r="H1049" s="61"/>
      <c r="I1049" s="61"/>
      <c r="J1049" s="61"/>
      <c r="K1049" s="61"/>
      <c r="L1049" s="61"/>
      <c r="M1049" s="61"/>
      <c r="N1049" s="61"/>
      <c r="O1049" s="61"/>
      <c r="P1049" s="61"/>
      <c r="Q1049" s="61"/>
      <c r="R1049" s="61"/>
      <c r="S1049" s="61"/>
      <c r="T1049" s="61"/>
      <c r="U1049" s="61"/>
      <c r="V1049" s="61"/>
      <c r="W1049" s="61"/>
      <c r="X1049" s="61"/>
      <c r="Y1049" s="61"/>
      <c r="Z1049" s="61"/>
      <c r="AA1049" s="61"/>
      <c r="AB1049" s="61"/>
      <c r="AC1049" s="61"/>
    </row>
    <row r="1050" ht="15.75" customHeight="1">
      <c r="A1050" s="61"/>
      <c r="B1050" s="61"/>
      <c r="C1050" s="61"/>
      <c r="D1050" s="61"/>
      <c r="E1050" s="61"/>
      <c r="F1050" s="61"/>
      <c r="G1050" s="61"/>
      <c r="H1050" s="61"/>
      <c r="I1050" s="61"/>
      <c r="J1050" s="61"/>
      <c r="K1050" s="61"/>
      <c r="L1050" s="61"/>
      <c r="M1050" s="61"/>
      <c r="N1050" s="61"/>
      <c r="O1050" s="61"/>
      <c r="P1050" s="61"/>
      <c r="Q1050" s="61"/>
      <c r="R1050" s="61"/>
      <c r="S1050" s="61"/>
      <c r="T1050" s="61"/>
      <c r="U1050" s="61"/>
      <c r="V1050" s="61"/>
      <c r="W1050" s="61"/>
      <c r="X1050" s="61"/>
      <c r="Y1050" s="61"/>
      <c r="Z1050" s="61"/>
      <c r="AA1050" s="61"/>
      <c r="AB1050" s="61"/>
      <c r="AC1050" s="61"/>
    </row>
    <row r="1051" ht="15.75" customHeight="1">
      <c r="A1051" s="61"/>
      <c r="B1051" s="61"/>
      <c r="C1051" s="61"/>
      <c r="D1051" s="61"/>
      <c r="E1051" s="61"/>
      <c r="F1051" s="61"/>
      <c r="G1051" s="61"/>
      <c r="H1051" s="61"/>
      <c r="I1051" s="61"/>
      <c r="J1051" s="61"/>
      <c r="K1051" s="61"/>
      <c r="L1051" s="61"/>
      <c r="M1051" s="61"/>
      <c r="N1051" s="61"/>
      <c r="O1051" s="61"/>
      <c r="P1051" s="61"/>
      <c r="Q1051" s="61"/>
      <c r="R1051" s="61"/>
      <c r="S1051" s="61"/>
      <c r="T1051" s="61"/>
      <c r="U1051" s="61"/>
      <c r="V1051" s="61"/>
      <c r="W1051" s="61"/>
      <c r="X1051" s="61"/>
      <c r="Y1051" s="61"/>
      <c r="Z1051" s="61"/>
      <c r="AA1051" s="61"/>
      <c r="AB1051" s="61"/>
      <c r="AC1051" s="61"/>
    </row>
    <row r="1052" ht="15.75" customHeight="1">
      <c r="A1052" s="61"/>
      <c r="B1052" s="61"/>
      <c r="C1052" s="61"/>
      <c r="D1052" s="61"/>
      <c r="E1052" s="61"/>
      <c r="F1052" s="61"/>
      <c r="G1052" s="61"/>
      <c r="H1052" s="61"/>
      <c r="I1052" s="61"/>
      <c r="J1052" s="61"/>
      <c r="K1052" s="61"/>
      <c r="L1052" s="61"/>
      <c r="M1052" s="61"/>
      <c r="N1052" s="61"/>
      <c r="O1052" s="61"/>
      <c r="P1052" s="61"/>
      <c r="Q1052" s="61"/>
      <c r="R1052" s="61"/>
      <c r="S1052" s="61"/>
      <c r="T1052" s="61"/>
      <c r="U1052" s="61"/>
      <c r="V1052" s="61"/>
      <c r="W1052" s="61"/>
      <c r="X1052" s="61"/>
      <c r="Y1052" s="61"/>
      <c r="Z1052" s="61"/>
      <c r="AA1052" s="61"/>
      <c r="AB1052" s="61"/>
      <c r="AC1052" s="61"/>
    </row>
    <row r="1053" ht="15.75" customHeight="1">
      <c r="A1053" s="61"/>
      <c r="B1053" s="61"/>
      <c r="C1053" s="61"/>
      <c r="D1053" s="61"/>
      <c r="E1053" s="61"/>
      <c r="F1053" s="61"/>
      <c r="G1053" s="61"/>
      <c r="H1053" s="61"/>
      <c r="I1053" s="61"/>
      <c r="J1053" s="61"/>
      <c r="K1053" s="61"/>
      <c r="L1053" s="61"/>
      <c r="M1053" s="61"/>
      <c r="N1053" s="61"/>
      <c r="O1053" s="61"/>
      <c r="P1053" s="61"/>
      <c r="Q1053" s="61"/>
      <c r="R1053" s="61"/>
      <c r="S1053" s="61"/>
      <c r="T1053" s="61"/>
      <c r="U1053" s="61"/>
      <c r="V1053" s="61"/>
      <c r="W1053" s="61"/>
      <c r="X1053" s="61"/>
      <c r="Y1053" s="61"/>
      <c r="Z1053" s="61"/>
      <c r="AA1053" s="61"/>
      <c r="AB1053" s="61"/>
      <c r="AC1053" s="61"/>
    </row>
    <row r="1054" ht="15.75" customHeight="1">
      <c r="A1054" s="61"/>
      <c r="B1054" s="61"/>
      <c r="C1054" s="61"/>
      <c r="D1054" s="61"/>
      <c r="E1054" s="61"/>
      <c r="F1054" s="61"/>
      <c r="G1054" s="61"/>
      <c r="H1054" s="61"/>
      <c r="I1054" s="61"/>
      <c r="J1054" s="61"/>
      <c r="K1054" s="61"/>
      <c r="L1054" s="61"/>
      <c r="M1054" s="61"/>
      <c r="N1054" s="61"/>
      <c r="O1054" s="61"/>
      <c r="P1054" s="61"/>
      <c r="Q1054" s="61"/>
      <c r="R1054" s="61"/>
      <c r="S1054" s="61"/>
      <c r="T1054" s="61"/>
      <c r="U1054" s="61"/>
      <c r="V1054" s="61"/>
      <c r="W1054" s="61"/>
      <c r="X1054" s="61"/>
      <c r="Y1054" s="61"/>
      <c r="Z1054" s="61"/>
      <c r="AA1054" s="61"/>
      <c r="AB1054" s="61"/>
      <c r="AC1054" s="61"/>
    </row>
    <row r="1055" ht="15.75" customHeight="1">
      <c r="A1055" s="61"/>
      <c r="B1055" s="61"/>
      <c r="C1055" s="61"/>
      <c r="D1055" s="61"/>
      <c r="E1055" s="61"/>
      <c r="F1055" s="61"/>
      <c r="G1055" s="61"/>
      <c r="H1055" s="61"/>
      <c r="I1055" s="61"/>
      <c r="J1055" s="61"/>
      <c r="K1055" s="61"/>
      <c r="L1055" s="61"/>
      <c r="M1055" s="61"/>
      <c r="N1055" s="61"/>
      <c r="O1055" s="61"/>
      <c r="P1055" s="61"/>
      <c r="Q1055" s="61"/>
      <c r="R1055" s="61"/>
      <c r="S1055" s="61"/>
      <c r="T1055" s="61"/>
      <c r="U1055" s="61"/>
      <c r="V1055" s="61"/>
      <c r="W1055" s="61"/>
      <c r="X1055" s="61"/>
      <c r="Y1055" s="61"/>
      <c r="Z1055" s="61"/>
      <c r="AA1055" s="61"/>
      <c r="AB1055" s="61"/>
      <c r="AC1055" s="61"/>
    </row>
    <row r="1056" ht="15.75" customHeight="1">
      <c r="A1056" s="61"/>
      <c r="B1056" s="61"/>
      <c r="C1056" s="61"/>
      <c r="D1056" s="61"/>
      <c r="E1056" s="61"/>
      <c r="F1056" s="61"/>
      <c r="G1056" s="61"/>
      <c r="H1056" s="61"/>
      <c r="I1056" s="61"/>
      <c r="J1056" s="61"/>
      <c r="K1056" s="61"/>
      <c r="L1056" s="61"/>
      <c r="M1056" s="61"/>
      <c r="N1056" s="61"/>
      <c r="O1056" s="61"/>
      <c r="P1056" s="61"/>
      <c r="Q1056" s="61"/>
      <c r="R1056" s="61"/>
      <c r="S1056" s="61"/>
      <c r="T1056" s="61"/>
      <c r="U1056" s="61"/>
      <c r="V1056" s="61"/>
      <c r="W1056" s="61"/>
      <c r="X1056" s="61"/>
      <c r="Y1056" s="61"/>
      <c r="Z1056" s="61"/>
      <c r="AA1056" s="61"/>
      <c r="AB1056" s="61"/>
      <c r="AC1056" s="61"/>
    </row>
    <row r="1057" ht="15.75" customHeight="1">
      <c r="A1057" s="61"/>
      <c r="B1057" s="61"/>
      <c r="C1057" s="61"/>
      <c r="D1057" s="61"/>
      <c r="E1057" s="61"/>
      <c r="F1057" s="61"/>
      <c r="G1057" s="61"/>
      <c r="H1057" s="61"/>
      <c r="I1057" s="61"/>
      <c r="J1057" s="61"/>
      <c r="K1057" s="61"/>
      <c r="L1057" s="61"/>
      <c r="M1057" s="61"/>
      <c r="N1057" s="61"/>
      <c r="O1057" s="61"/>
      <c r="P1057" s="61"/>
      <c r="Q1057" s="61"/>
      <c r="R1057" s="61"/>
      <c r="S1057" s="61"/>
      <c r="T1057" s="61"/>
      <c r="U1057" s="61"/>
      <c r="V1057" s="61"/>
      <c r="W1057" s="61"/>
      <c r="X1057" s="61"/>
      <c r="Y1057" s="61"/>
      <c r="Z1057" s="61"/>
      <c r="AA1057" s="61"/>
      <c r="AB1057" s="61"/>
      <c r="AC1057" s="61"/>
    </row>
    <row r="1058" ht="15.75" customHeight="1">
      <c r="A1058" s="61"/>
      <c r="B1058" s="61"/>
      <c r="C1058" s="61"/>
      <c r="D1058" s="61"/>
      <c r="E1058" s="61"/>
      <c r="F1058" s="61"/>
      <c r="G1058" s="61"/>
      <c r="H1058" s="61"/>
      <c r="I1058" s="61"/>
      <c r="J1058" s="61"/>
      <c r="K1058" s="61"/>
      <c r="L1058" s="61"/>
      <c r="M1058" s="61"/>
      <c r="N1058" s="61"/>
      <c r="O1058" s="61"/>
      <c r="P1058" s="61"/>
      <c r="Q1058" s="61"/>
      <c r="R1058" s="61"/>
      <c r="S1058" s="61"/>
      <c r="T1058" s="61"/>
      <c r="U1058" s="61"/>
      <c r="V1058" s="61"/>
      <c r="W1058" s="61"/>
      <c r="X1058" s="61"/>
      <c r="Y1058" s="61"/>
      <c r="Z1058" s="61"/>
      <c r="AA1058" s="61"/>
      <c r="AB1058" s="61"/>
      <c r="AC1058" s="61"/>
    </row>
    <row r="1059" ht="15.75" customHeight="1">
      <c r="A1059" s="61"/>
      <c r="B1059" s="61"/>
      <c r="C1059" s="61"/>
      <c r="D1059" s="61"/>
      <c r="E1059" s="61"/>
      <c r="F1059" s="61"/>
      <c r="G1059" s="61"/>
      <c r="H1059" s="61"/>
      <c r="I1059" s="61"/>
      <c r="J1059" s="61"/>
      <c r="K1059" s="61"/>
      <c r="L1059" s="61"/>
      <c r="M1059" s="61"/>
      <c r="N1059" s="61"/>
      <c r="O1059" s="61"/>
      <c r="P1059" s="61"/>
      <c r="Q1059" s="61"/>
      <c r="R1059" s="61"/>
      <c r="S1059" s="61"/>
      <c r="T1059" s="61"/>
      <c r="U1059" s="61"/>
      <c r="V1059" s="61"/>
      <c r="W1059" s="61"/>
      <c r="X1059" s="61"/>
      <c r="Y1059" s="61"/>
      <c r="Z1059" s="61"/>
      <c r="AA1059" s="61"/>
      <c r="AB1059" s="61"/>
      <c r="AC1059" s="61"/>
    </row>
    <row r="1060" ht="15.75" customHeight="1">
      <c r="A1060" s="61"/>
      <c r="B1060" s="61"/>
      <c r="C1060" s="61"/>
      <c r="D1060" s="61"/>
      <c r="E1060" s="61"/>
      <c r="F1060" s="61"/>
      <c r="G1060" s="61"/>
      <c r="H1060" s="61"/>
      <c r="I1060" s="61"/>
      <c r="J1060" s="61"/>
      <c r="K1060" s="61"/>
      <c r="L1060" s="61"/>
      <c r="M1060" s="61"/>
      <c r="N1060" s="61"/>
      <c r="O1060" s="61"/>
      <c r="P1060" s="61"/>
      <c r="Q1060" s="61"/>
      <c r="R1060" s="61"/>
      <c r="S1060" s="61"/>
      <c r="T1060" s="61"/>
      <c r="U1060" s="61"/>
      <c r="V1060" s="61"/>
      <c r="W1060" s="61"/>
      <c r="X1060" s="61"/>
      <c r="Y1060" s="61"/>
      <c r="Z1060" s="61"/>
      <c r="AA1060" s="61"/>
      <c r="AB1060" s="61"/>
      <c r="AC1060" s="61"/>
    </row>
    <row r="1061" ht="15.75" customHeight="1">
      <c r="A1061" s="61"/>
      <c r="B1061" s="61"/>
      <c r="C1061" s="61"/>
      <c r="D1061" s="61"/>
      <c r="E1061" s="61"/>
      <c r="F1061" s="61"/>
      <c r="G1061" s="61"/>
      <c r="H1061" s="61"/>
      <c r="I1061" s="61"/>
      <c r="J1061" s="61"/>
      <c r="K1061" s="61"/>
      <c r="L1061" s="61"/>
      <c r="M1061" s="61"/>
      <c r="N1061" s="61"/>
      <c r="O1061" s="61"/>
      <c r="P1061" s="61"/>
      <c r="Q1061" s="61"/>
      <c r="R1061" s="61"/>
      <c r="S1061" s="61"/>
      <c r="T1061" s="61"/>
      <c r="U1061" s="61"/>
      <c r="V1061" s="61"/>
      <c r="W1061" s="61"/>
      <c r="X1061" s="61"/>
      <c r="Y1061" s="61"/>
      <c r="Z1061" s="61"/>
      <c r="AA1061" s="61"/>
      <c r="AB1061" s="61"/>
      <c r="AC1061" s="61"/>
    </row>
    <row r="1062" ht="15.75" customHeight="1">
      <c r="A1062" s="61"/>
      <c r="B1062" s="61"/>
      <c r="C1062" s="61"/>
      <c r="D1062" s="61"/>
      <c r="E1062" s="61"/>
      <c r="F1062" s="61"/>
      <c r="G1062" s="61"/>
      <c r="H1062" s="61"/>
      <c r="I1062" s="61"/>
      <c r="J1062" s="61"/>
      <c r="K1062" s="61"/>
      <c r="L1062" s="61"/>
      <c r="M1062" s="61"/>
      <c r="N1062" s="61"/>
      <c r="O1062" s="61"/>
      <c r="P1062" s="61"/>
      <c r="Q1062" s="61"/>
      <c r="R1062" s="61"/>
      <c r="S1062" s="61"/>
      <c r="T1062" s="61"/>
      <c r="U1062" s="61"/>
      <c r="V1062" s="61"/>
      <c r="W1062" s="61"/>
      <c r="X1062" s="61"/>
      <c r="Y1062" s="61"/>
      <c r="Z1062" s="61"/>
      <c r="AA1062" s="61"/>
      <c r="AB1062" s="61"/>
      <c r="AC1062" s="61"/>
    </row>
    <row r="1063" ht="15.75" customHeight="1">
      <c r="A1063" s="61"/>
      <c r="B1063" s="61"/>
      <c r="C1063" s="61"/>
      <c r="D1063" s="61"/>
      <c r="E1063" s="61"/>
      <c r="F1063" s="61"/>
      <c r="G1063" s="61"/>
      <c r="H1063" s="61"/>
      <c r="I1063" s="61"/>
      <c r="J1063" s="61"/>
      <c r="K1063" s="61"/>
      <c r="L1063" s="61"/>
      <c r="M1063" s="61"/>
      <c r="N1063" s="61"/>
      <c r="O1063" s="61"/>
      <c r="P1063" s="61"/>
      <c r="Q1063" s="61"/>
      <c r="R1063" s="61"/>
      <c r="S1063" s="61"/>
      <c r="T1063" s="61"/>
      <c r="U1063" s="61"/>
      <c r="V1063" s="61"/>
      <c r="W1063" s="61"/>
      <c r="X1063" s="61"/>
      <c r="Y1063" s="61"/>
      <c r="Z1063" s="61"/>
      <c r="AA1063" s="61"/>
      <c r="AB1063" s="61"/>
      <c r="AC1063" s="61"/>
    </row>
    <row r="1064" ht="15.75" customHeight="1">
      <c r="A1064" s="61"/>
      <c r="B1064" s="61"/>
      <c r="C1064" s="61"/>
      <c r="D1064" s="61"/>
      <c r="E1064" s="61"/>
      <c r="F1064" s="61"/>
      <c r="G1064" s="61"/>
      <c r="H1064" s="61"/>
      <c r="I1064" s="61"/>
      <c r="J1064" s="61"/>
      <c r="K1064" s="61"/>
      <c r="L1064" s="61"/>
      <c r="M1064" s="61"/>
      <c r="N1064" s="61"/>
      <c r="O1064" s="61"/>
      <c r="P1064" s="61"/>
      <c r="Q1064" s="61"/>
      <c r="R1064" s="61"/>
      <c r="S1064" s="61"/>
      <c r="T1064" s="61"/>
      <c r="U1064" s="61"/>
      <c r="V1064" s="61"/>
      <c r="W1064" s="61"/>
      <c r="X1064" s="61"/>
      <c r="Y1064" s="61"/>
      <c r="Z1064" s="61"/>
      <c r="AA1064" s="61"/>
      <c r="AB1064" s="61"/>
      <c r="AC1064" s="61"/>
    </row>
    <row r="1065" ht="15.75" customHeight="1">
      <c r="A1065" s="61"/>
      <c r="B1065" s="61"/>
      <c r="C1065" s="61"/>
      <c r="D1065" s="61"/>
      <c r="E1065" s="61"/>
      <c r="F1065" s="61"/>
      <c r="G1065" s="61"/>
      <c r="H1065" s="61"/>
      <c r="I1065" s="61"/>
      <c r="J1065" s="61"/>
      <c r="K1065" s="61"/>
      <c r="L1065" s="61"/>
      <c r="M1065" s="61"/>
      <c r="N1065" s="61"/>
      <c r="O1065" s="61"/>
      <c r="P1065" s="61"/>
      <c r="Q1065" s="61"/>
      <c r="R1065" s="61"/>
      <c r="S1065" s="61"/>
      <c r="T1065" s="61"/>
      <c r="U1065" s="61"/>
      <c r="V1065" s="61"/>
      <c r="W1065" s="61"/>
      <c r="X1065" s="61"/>
      <c r="Y1065" s="61"/>
      <c r="Z1065" s="61"/>
      <c r="AA1065" s="61"/>
      <c r="AB1065" s="61"/>
      <c r="AC1065" s="61"/>
    </row>
    <row r="1066" ht="15.75" customHeight="1">
      <c r="A1066" s="61"/>
      <c r="B1066" s="61"/>
      <c r="C1066" s="61"/>
      <c r="D1066" s="61"/>
      <c r="E1066" s="61"/>
      <c r="F1066" s="61"/>
      <c r="G1066" s="61"/>
      <c r="H1066" s="61"/>
      <c r="I1066" s="61"/>
      <c r="J1066" s="61"/>
      <c r="K1066" s="61"/>
      <c r="L1066" s="61"/>
      <c r="M1066" s="61"/>
      <c r="N1066" s="61"/>
      <c r="O1066" s="61"/>
      <c r="P1066" s="61"/>
      <c r="Q1066" s="61"/>
      <c r="R1066" s="61"/>
      <c r="S1066" s="61"/>
      <c r="T1066" s="61"/>
      <c r="U1066" s="61"/>
      <c r="V1066" s="61"/>
      <c r="W1066" s="61"/>
      <c r="X1066" s="61"/>
      <c r="Y1066" s="61"/>
      <c r="Z1066" s="61"/>
      <c r="AA1066" s="61"/>
      <c r="AB1066" s="61"/>
      <c r="AC1066" s="61"/>
    </row>
    <row r="1067" ht="15.75" customHeight="1">
      <c r="A1067" s="61"/>
      <c r="B1067" s="61"/>
      <c r="C1067" s="61"/>
      <c r="D1067" s="61"/>
      <c r="E1067" s="61"/>
      <c r="F1067" s="61"/>
      <c r="G1067" s="61"/>
      <c r="H1067" s="61"/>
      <c r="I1067" s="61"/>
      <c r="J1067" s="61"/>
      <c r="K1067" s="61"/>
      <c r="L1067" s="61"/>
      <c r="M1067" s="61"/>
      <c r="N1067" s="61"/>
      <c r="O1067" s="61"/>
      <c r="P1067" s="61"/>
      <c r="Q1067" s="61"/>
      <c r="R1067" s="61"/>
      <c r="S1067" s="61"/>
      <c r="T1067" s="61"/>
      <c r="U1067" s="61"/>
      <c r="V1067" s="61"/>
      <c r="W1067" s="61"/>
      <c r="X1067" s="61"/>
      <c r="Y1067" s="61"/>
      <c r="Z1067" s="61"/>
      <c r="AA1067" s="61"/>
      <c r="AB1067" s="61"/>
      <c r="AC1067" s="61"/>
    </row>
    <row r="1068" ht="15.75" customHeight="1">
      <c r="A1068" s="61"/>
      <c r="B1068" s="61"/>
      <c r="C1068" s="61"/>
      <c r="D1068" s="61"/>
      <c r="E1068" s="61"/>
      <c r="F1068" s="61"/>
      <c r="G1068" s="61"/>
      <c r="H1068" s="61"/>
      <c r="I1068" s="61"/>
      <c r="J1068" s="61"/>
      <c r="K1068" s="61"/>
      <c r="L1068" s="61"/>
      <c r="M1068" s="61"/>
      <c r="N1068" s="61"/>
      <c r="O1068" s="61"/>
      <c r="P1068" s="61"/>
      <c r="Q1068" s="61"/>
      <c r="R1068" s="61"/>
      <c r="S1068" s="61"/>
      <c r="T1068" s="61"/>
      <c r="U1068" s="61"/>
      <c r="V1068" s="61"/>
      <c r="W1068" s="61"/>
      <c r="X1068" s="61"/>
      <c r="Y1068" s="61"/>
      <c r="Z1068" s="61"/>
      <c r="AA1068" s="61"/>
      <c r="AB1068" s="61"/>
      <c r="AC1068" s="61"/>
    </row>
    <row r="1069" ht="15.75" customHeight="1">
      <c r="A1069" s="61"/>
      <c r="B1069" s="61"/>
      <c r="C1069" s="61"/>
      <c r="D1069" s="61"/>
      <c r="E1069" s="61"/>
      <c r="F1069" s="61"/>
      <c r="G1069" s="61"/>
      <c r="H1069" s="61"/>
      <c r="I1069" s="61"/>
      <c r="J1069" s="61"/>
      <c r="K1069" s="61"/>
      <c r="L1069" s="61"/>
      <c r="M1069" s="61"/>
      <c r="N1069" s="61"/>
      <c r="O1069" s="61"/>
      <c r="P1069" s="61"/>
      <c r="Q1069" s="61"/>
      <c r="R1069" s="61"/>
      <c r="S1069" s="61"/>
      <c r="T1069" s="61"/>
      <c r="U1069" s="61"/>
      <c r="V1069" s="61"/>
      <c r="W1069" s="61"/>
      <c r="X1069" s="61"/>
      <c r="Y1069" s="61"/>
      <c r="Z1069" s="61"/>
      <c r="AA1069" s="61"/>
      <c r="AB1069" s="61"/>
      <c r="AC1069" s="61"/>
    </row>
    <row r="1070" ht="15.75" customHeight="1">
      <c r="A1070" s="61"/>
      <c r="B1070" s="61"/>
      <c r="C1070" s="61"/>
      <c r="D1070" s="61"/>
      <c r="E1070" s="61"/>
      <c r="F1070" s="61"/>
      <c r="G1070" s="61"/>
      <c r="H1070" s="61"/>
      <c r="I1070" s="61"/>
      <c r="J1070" s="61"/>
      <c r="K1070" s="61"/>
      <c r="L1070" s="61"/>
      <c r="M1070" s="61"/>
      <c r="N1070" s="61"/>
      <c r="O1070" s="61"/>
      <c r="P1070" s="61"/>
      <c r="Q1070" s="61"/>
      <c r="R1070" s="61"/>
      <c r="S1070" s="61"/>
      <c r="T1070" s="61"/>
      <c r="U1070" s="61"/>
      <c r="V1070" s="61"/>
      <c r="W1070" s="61"/>
      <c r="X1070" s="61"/>
      <c r="Y1070" s="61"/>
      <c r="Z1070" s="61"/>
      <c r="AA1070" s="61"/>
      <c r="AB1070" s="61"/>
      <c r="AC1070" s="61"/>
    </row>
    <row r="1071" ht="15.75" customHeight="1">
      <c r="A1071" s="61"/>
      <c r="B1071" s="61"/>
      <c r="C1071" s="61"/>
      <c r="D1071" s="61"/>
      <c r="E1071" s="61"/>
      <c r="F1071" s="61"/>
      <c r="G1071" s="61"/>
      <c r="H1071" s="61"/>
      <c r="I1071" s="61"/>
      <c r="J1071" s="61"/>
      <c r="K1071" s="61"/>
      <c r="L1071" s="61"/>
      <c r="M1071" s="61"/>
      <c r="N1071" s="61"/>
      <c r="O1071" s="61"/>
      <c r="P1071" s="61"/>
      <c r="Q1071" s="61"/>
      <c r="R1071" s="61"/>
      <c r="S1071" s="61"/>
      <c r="T1071" s="61"/>
      <c r="U1071" s="61"/>
      <c r="V1071" s="61"/>
      <c r="W1071" s="61"/>
      <c r="X1071" s="61"/>
      <c r="Y1071" s="61"/>
      <c r="Z1071" s="61"/>
      <c r="AA1071" s="61"/>
      <c r="AB1071" s="61"/>
      <c r="AC1071" s="61"/>
    </row>
    <row r="1072" ht="15.75" customHeight="1">
      <c r="A1072" s="61"/>
      <c r="B1072" s="61"/>
      <c r="C1072" s="61"/>
      <c r="D1072" s="61"/>
      <c r="E1072" s="61"/>
      <c r="F1072" s="61"/>
      <c r="G1072" s="61"/>
      <c r="H1072" s="61"/>
      <c r="I1072" s="61"/>
      <c r="J1072" s="61"/>
      <c r="K1072" s="61"/>
      <c r="L1072" s="61"/>
      <c r="M1072" s="61"/>
      <c r="N1072" s="61"/>
      <c r="O1072" s="61"/>
      <c r="P1072" s="61"/>
      <c r="Q1072" s="61"/>
      <c r="R1072" s="61"/>
      <c r="S1072" s="61"/>
      <c r="T1072" s="61"/>
      <c r="U1072" s="61"/>
      <c r="V1072" s="61"/>
      <c r="W1072" s="61"/>
      <c r="X1072" s="61"/>
      <c r="Y1072" s="61"/>
      <c r="Z1072" s="61"/>
      <c r="AA1072" s="61"/>
      <c r="AB1072" s="61"/>
      <c r="AC1072" s="61"/>
    </row>
    <row r="1073" ht="15.75" customHeight="1">
      <c r="A1073" s="61"/>
      <c r="B1073" s="61"/>
      <c r="C1073" s="61"/>
      <c r="D1073" s="61"/>
      <c r="E1073" s="61"/>
      <c r="F1073" s="61"/>
      <c r="G1073" s="61"/>
      <c r="H1073" s="61"/>
      <c r="I1073" s="61"/>
      <c r="J1073" s="61"/>
      <c r="K1073" s="61"/>
      <c r="L1073" s="61"/>
      <c r="M1073" s="61"/>
      <c r="N1073" s="61"/>
      <c r="O1073" s="61"/>
      <c r="P1073" s="61"/>
      <c r="Q1073" s="61"/>
      <c r="R1073" s="61"/>
      <c r="S1073" s="61"/>
      <c r="T1073" s="61"/>
      <c r="U1073" s="61"/>
      <c r="V1073" s="61"/>
      <c r="W1073" s="61"/>
      <c r="X1073" s="61"/>
      <c r="Y1073" s="61"/>
      <c r="Z1073" s="61"/>
      <c r="AA1073" s="61"/>
      <c r="AB1073" s="61"/>
      <c r="AC1073" s="61"/>
    </row>
    <row r="1074" ht="15.75" customHeight="1">
      <c r="A1074" s="61"/>
      <c r="B1074" s="61"/>
      <c r="C1074" s="61"/>
      <c r="D1074" s="61"/>
      <c r="E1074" s="61"/>
      <c r="F1074" s="61"/>
      <c r="G1074" s="61"/>
      <c r="H1074" s="61"/>
      <c r="I1074" s="61"/>
      <c r="J1074" s="61"/>
      <c r="K1074" s="61"/>
      <c r="L1074" s="61"/>
      <c r="M1074" s="61"/>
      <c r="N1074" s="61"/>
      <c r="O1074" s="61"/>
      <c r="P1074" s="61"/>
      <c r="Q1074" s="61"/>
      <c r="R1074" s="61"/>
      <c r="S1074" s="61"/>
      <c r="T1074" s="61"/>
      <c r="U1074" s="61"/>
      <c r="V1074" s="61"/>
      <c r="W1074" s="61"/>
      <c r="X1074" s="61"/>
      <c r="Y1074" s="61"/>
      <c r="Z1074" s="61"/>
      <c r="AA1074" s="61"/>
      <c r="AB1074" s="61"/>
      <c r="AC1074" s="61"/>
    </row>
    <row r="1075" ht="15.75" customHeight="1">
      <c r="A1075" s="61"/>
      <c r="B1075" s="61"/>
      <c r="C1075" s="61"/>
      <c r="D1075" s="61"/>
      <c r="E1075" s="61"/>
      <c r="F1075" s="61"/>
      <c r="G1075" s="61"/>
      <c r="H1075" s="61"/>
      <c r="I1075" s="61"/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/>
      <c r="U1075" s="61"/>
      <c r="V1075" s="61"/>
      <c r="W1075" s="61"/>
      <c r="X1075" s="61"/>
      <c r="Y1075" s="61"/>
      <c r="Z1075" s="61"/>
      <c r="AA1075" s="61"/>
      <c r="AB1075" s="61"/>
      <c r="AC1075" s="61"/>
    </row>
    <row r="1076" ht="15.75" customHeight="1">
      <c r="A1076" s="61"/>
      <c r="B1076" s="61"/>
      <c r="C1076" s="61"/>
      <c r="D1076" s="61"/>
      <c r="E1076" s="61"/>
      <c r="F1076" s="61"/>
      <c r="G1076" s="61"/>
      <c r="H1076" s="61"/>
      <c r="I1076" s="61"/>
      <c r="J1076" s="61"/>
      <c r="K1076" s="61"/>
      <c r="L1076" s="61"/>
      <c r="M1076" s="61"/>
      <c r="N1076" s="61"/>
      <c r="O1076" s="61"/>
      <c r="P1076" s="61"/>
      <c r="Q1076" s="61"/>
      <c r="R1076" s="61"/>
      <c r="S1076" s="61"/>
      <c r="T1076" s="61"/>
      <c r="U1076" s="61"/>
      <c r="V1076" s="61"/>
      <c r="W1076" s="61"/>
      <c r="X1076" s="61"/>
      <c r="Y1076" s="61"/>
      <c r="Z1076" s="61"/>
      <c r="AA1076" s="61"/>
      <c r="AB1076" s="61"/>
      <c r="AC1076" s="61"/>
    </row>
    <row r="1077" ht="15.75" customHeight="1">
      <c r="A1077" s="61"/>
      <c r="B1077" s="61"/>
      <c r="C1077" s="61"/>
      <c r="D1077" s="61"/>
      <c r="E1077" s="61"/>
      <c r="F1077" s="61"/>
      <c r="G1077" s="61"/>
      <c r="H1077" s="61"/>
      <c r="I1077" s="61"/>
      <c r="J1077" s="61"/>
      <c r="K1077" s="61"/>
      <c r="L1077" s="61"/>
      <c r="M1077" s="61"/>
      <c r="N1077" s="61"/>
      <c r="O1077" s="61"/>
      <c r="P1077" s="61"/>
      <c r="Q1077" s="61"/>
      <c r="R1077" s="61"/>
      <c r="S1077" s="61"/>
      <c r="T1077" s="61"/>
      <c r="U1077" s="61"/>
      <c r="V1077" s="61"/>
      <c r="W1077" s="61"/>
      <c r="X1077" s="61"/>
      <c r="Y1077" s="61"/>
      <c r="Z1077" s="61"/>
      <c r="AA1077" s="61"/>
      <c r="AB1077" s="61"/>
      <c r="AC1077" s="61"/>
    </row>
    <row r="1078" ht="15.75" customHeight="1">
      <c r="A1078" s="61"/>
      <c r="B1078" s="61"/>
      <c r="C1078" s="61"/>
      <c r="D1078" s="61"/>
      <c r="E1078" s="61"/>
      <c r="F1078" s="61"/>
      <c r="G1078" s="61"/>
      <c r="H1078" s="61"/>
      <c r="I1078" s="61"/>
      <c r="J1078" s="61"/>
      <c r="K1078" s="61"/>
      <c r="L1078" s="61"/>
      <c r="M1078" s="61"/>
      <c r="N1078" s="61"/>
      <c r="O1078" s="61"/>
      <c r="P1078" s="61"/>
      <c r="Q1078" s="61"/>
      <c r="R1078" s="61"/>
      <c r="S1078" s="61"/>
      <c r="T1078" s="61"/>
      <c r="U1078" s="61"/>
      <c r="V1078" s="61"/>
      <c r="W1078" s="61"/>
      <c r="X1078" s="61"/>
      <c r="Y1078" s="61"/>
      <c r="Z1078" s="61"/>
      <c r="AA1078" s="61"/>
      <c r="AB1078" s="61"/>
      <c r="AC1078" s="61"/>
    </row>
    <row r="1079" ht="15.75" customHeight="1">
      <c r="A1079" s="61"/>
      <c r="B1079" s="61"/>
      <c r="C1079" s="61"/>
      <c r="D1079" s="61"/>
      <c r="E1079" s="61"/>
      <c r="F1079" s="61"/>
      <c r="G1079" s="61"/>
      <c r="H1079" s="61"/>
      <c r="I1079" s="61"/>
      <c r="J1079" s="61"/>
      <c r="K1079" s="61"/>
      <c r="L1079" s="61"/>
      <c r="M1079" s="61"/>
      <c r="N1079" s="61"/>
      <c r="O1079" s="61"/>
      <c r="P1079" s="61"/>
      <c r="Q1079" s="61"/>
      <c r="R1079" s="61"/>
      <c r="S1079" s="61"/>
      <c r="T1079" s="61"/>
      <c r="U1079" s="61"/>
      <c r="V1079" s="61"/>
      <c r="W1079" s="61"/>
      <c r="X1079" s="61"/>
      <c r="Y1079" s="61"/>
      <c r="Z1079" s="61"/>
      <c r="AA1079" s="61"/>
      <c r="AB1079" s="61"/>
      <c r="AC1079" s="61"/>
    </row>
    <row r="1080" ht="15.75" customHeight="1">
      <c r="A1080" s="61"/>
      <c r="B1080" s="61"/>
      <c r="C1080" s="61"/>
      <c r="D1080" s="61"/>
      <c r="E1080" s="61"/>
      <c r="F1080" s="61"/>
      <c r="G1080" s="61"/>
      <c r="H1080" s="61"/>
      <c r="I1080" s="61"/>
      <c r="J1080" s="61"/>
      <c r="K1080" s="61"/>
      <c r="L1080" s="61"/>
      <c r="M1080" s="61"/>
      <c r="N1080" s="61"/>
      <c r="O1080" s="61"/>
      <c r="P1080" s="61"/>
      <c r="Q1080" s="61"/>
      <c r="R1080" s="61"/>
      <c r="S1080" s="61"/>
      <c r="T1080" s="61"/>
      <c r="U1080" s="61"/>
      <c r="V1080" s="61"/>
      <c r="W1080" s="61"/>
      <c r="X1080" s="61"/>
      <c r="Y1080" s="61"/>
      <c r="Z1080" s="61"/>
      <c r="AA1080" s="61"/>
      <c r="AB1080" s="61"/>
      <c r="AC1080" s="61"/>
    </row>
    <row r="1081" ht="15.75" customHeight="1">
      <c r="A1081" s="61"/>
      <c r="B1081" s="61"/>
      <c r="C1081" s="61"/>
      <c r="D1081" s="61"/>
      <c r="E1081" s="61"/>
      <c r="F1081" s="61"/>
      <c r="G1081" s="61"/>
      <c r="H1081" s="61"/>
      <c r="I1081" s="61"/>
      <c r="J1081" s="61"/>
      <c r="K1081" s="61"/>
      <c r="L1081" s="61"/>
      <c r="M1081" s="61"/>
      <c r="N1081" s="61"/>
      <c r="O1081" s="61"/>
      <c r="P1081" s="61"/>
      <c r="Q1081" s="61"/>
      <c r="R1081" s="61"/>
      <c r="S1081" s="61"/>
      <c r="T1081" s="61"/>
      <c r="U1081" s="61"/>
      <c r="V1081" s="61"/>
      <c r="W1081" s="61"/>
      <c r="X1081" s="61"/>
      <c r="Y1081" s="61"/>
      <c r="Z1081" s="61"/>
      <c r="AA1081" s="61"/>
      <c r="AB1081" s="61"/>
      <c r="AC1081" s="61"/>
    </row>
    <row r="1082" ht="15.75" customHeight="1">
      <c r="A1082" s="61"/>
      <c r="B1082" s="61"/>
      <c r="C1082" s="61"/>
      <c r="D1082" s="61"/>
      <c r="E1082" s="61"/>
      <c r="F1082" s="61"/>
      <c r="G1082" s="61"/>
      <c r="H1082" s="61"/>
      <c r="I1082" s="61"/>
      <c r="J1082" s="61"/>
      <c r="K1082" s="61"/>
      <c r="L1082" s="61"/>
      <c r="M1082" s="61"/>
      <c r="N1082" s="61"/>
      <c r="O1082" s="61"/>
      <c r="P1082" s="61"/>
      <c r="Q1082" s="61"/>
      <c r="R1082" s="61"/>
      <c r="S1082" s="61"/>
      <c r="T1082" s="61"/>
      <c r="U1082" s="61"/>
      <c r="V1082" s="61"/>
      <c r="W1082" s="61"/>
      <c r="X1082" s="61"/>
      <c r="Y1082" s="61"/>
      <c r="Z1082" s="61"/>
      <c r="AA1082" s="61"/>
      <c r="AB1082" s="61"/>
      <c r="AC1082" s="61"/>
    </row>
    <row r="1083" ht="15.75" customHeight="1">
      <c r="A1083" s="61"/>
      <c r="B1083" s="61"/>
      <c r="C1083" s="61"/>
      <c r="D1083" s="61"/>
      <c r="E1083" s="61"/>
      <c r="F1083" s="61"/>
      <c r="G1083" s="61"/>
      <c r="H1083" s="61"/>
      <c r="I1083" s="61"/>
      <c r="J1083" s="61"/>
      <c r="K1083" s="61"/>
      <c r="L1083" s="61"/>
      <c r="M1083" s="61"/>
      <c r="N1083" s="61"/>
      <c r="O1083" s="61"/>
      <c r="P1083" s="61"/>
      <c r="Q1083" s="61"/>
      <c r="R1083" s="61"/>
      <c r="S1083" s="61"/>
      <c r="T1083" s="61"/>
      <c r="U1083" s="61"/>
      <c r="V1083" s="61"/>
      <c r="W1083" s="61"/>
      <c r="X1083" s="61"/>
      <c r="Y1083" s="61"/>
      <c r="Z1083" s="61"/>
      <c r="AA1083" s="61"/>
      <c r="AB1083" s="61"/>
      <c r="AC1083" s="61"/>
    </row>
    <row r="1084" ht="15.75" customHeight="1">
      <c r="A1084" s="61"/>
      <c r="B1084" s="61"/>
      <c r="C1084" s="61"/>
      <c r="D1084" s="61"/>
      <c r="E1084" s="61"/>
      <c r="F1084" s="61"/>
      <c r="G1084" s="61"/>
      <c r="H1084" s="61"/>
      <c r="I1084" s="61"/>
      <c r="J1084" s="61"/>
      <c r="K1084" s="61"/>
      <c r="L1084" s="61"/>
      <c r="M1084" s="61"/>
      <c r="N1084" s="61"/>
      <c r="O1084" s="61"/>
      <c r="P1084" s="61"/>
      <c r="Q1084" s="61"/>
      <c r="R1084" s="61"/>
      <c r="S1084" s="61"/>
      <c r="T1084" s="61"/>
      <c r="U1084" s="61"/>
      <c r="V1084" s="61"/>
      <c r="W1084" s="61"/>
      <c r="X1084" s="61"/>
      <c r="Y1084" s="61"/>
      <c r="Z1084" s="61"/>
      <c r="AA1084" s="61"/>
      <c r="AB1084" s="61"/>
      <c r="AC1084" s="61"/>
    </row>
    <row r="1085" ht="15.75" customHeight="1">
      <c r="A1085" s="61"/>
      <c r="B1085" s="61"/>
      <c r="C1085" s="61"/>
      <c r="D1085" s="61"/>
      <c r="E1085" s="61"/>
      <c r="F1085" s="61"/>
      <c r="G1085" s="61"/>
      <c r="H1085" s="61"/>
      <c r="I1085" s="61"/>
      <c r="J1085" s="61"/>
      <c r="K1085" s="61"/>
      <c r="L1085" s="61"/>
      <c r="M1085" s="61"/>
      <c r="N1085" s="61"/>
      <c r="O1085" s="61"/>
      <c r="P1085" s="61"/>
      <c r="Q1085" s="61"/>
      <c r="R1085" s="61"/>
      <c r="S1085" s="61"/>
      <c r="T1085" s="61"/>
      <c r="U1085" s="61"/>
      <c r="V1085" s="61"/>
      <c r="W1085" s="61"/>
      <c r="X1085" s="61"/>
      <c r="Y1085" s="61"/>
      <c r="Z1085" s="61"/>
      <c r="AA1085" s="61"/>
      <c r="AB1085" s="61"/>
      <c r="AC1085" s="61"/>
    </row>
    <row r="1086" ht="15.75" customHeight="1">
      <c r="A1086" s="61"/>
      <c r="B1086" s="61"/>
      <c r="C1086" s="61"/>
      <c r="D1086" s="61"/>
      <c r="E1086" s="61"/>
      <c r="F1086" s="61"/>
      <c r="G1086" s="61"/>
      <c r="H1086" s="61"/>
      <c r="I1086" s="61"/>
      <c r="J1086" s="61"/>
      <c r="K1086" s="61"/>
      <c r="L1086" s="61"/>
      <c r="M1086" s="61"/>
      <c r="N1086" s="61"/>
      <c r="O1086" s="61"/>
      <c r="P1086" s="61"/>
      <c r="Q1086" s="61"/>
      <c r="R1086" s="61"/>
      <c r="S1086" s="61"/>
      <c r="T1086" s="61"/>
      <c r="U1086" s="61"/>
      <c r="V1086" s="61"/>
      <c r="W1086" s="61"/>
      <c r="X1086" s="61"/>
      <c r="Y1086" s="61"/>
      <c r="Z1086" s="61"/>
      <c r="AA1086" s="61"/>
      <c r="AB1086" s="61"/>
      <c r="AC1086" s="61"/>
    </row>
    <row r="1087" ht="15.75" customHeight="1">
      <c r="A1087" s="61"/>
      <c r="B1087" s="61"/>
      <c r="C1087" s="61"/>
      <c r="D1087" s="61"/>
      <c r="E1087" s="61"/>
      <c r="F1087" s="61"/>
      <c r="G1087" s="61"/>
      <c r="H1087" s="61"/>
      <c r="I1087" s="61"/>
      <c r="J1087" s="61"/>
      <c r="K1087" s="61"/>
      <c r="L1087" s="61"/>
      <c r="M1087" s="61"/>
      <c r="N1087" s="61"/>
      <c r="O1087" s="61"/>
      <c r="P1087" s="61"/>
      <c r="Q1087" s="61"/>
      <c r="R1087" s="61"/>
      <c r="S1087" s="61"/>
      <c r="T1087" s="61"/>
      <c r="U1087" s="61"/>
      <c r="V1087" s="61"/>
      <c r="W1087" s="61"/>
      <c r="X1087" s="61"/>
      <c r="Y1087" s="61"/>
      <c r="Z1087" s="61"/>
      <c r="AA1087" s="61"/>
      <c r="AB1087" s="61"/>
      <c r="AC1087" s="61"/>
    </row>
    <row r="1088" ht="15.75" customHeight="1">
      <c r="A1088" s="61"/>
      <c r="B1088" s="61"/>
      <c r="C1088" s="61"/>
      <c r="D1088" s="61"/>
      <c r="E1088" s="61"/>
      <c r="F1088" s="61"/>
      <c r="G1088" s="61"/>
      <c r="H1088" s="61"/>
      <c r="I1088" s="61"/>
      <c r="J1088" s="61"/>
      <c r="K1088" s="61"/>
      <c r="L1088" s="61"/>
      <c r="M1088" s="61"/>
      <c r="N1088" s="61"/>
      <c r="O1088" s="61"/>
      <c r="P1088" s="61"/>
      <c r="Q1088" s="61"/>
      <c r="R1088" s="61"/>
      <c r="S1088" s="61"/>
      <c r="T1088" s="61"/>
      <c r="U1088" s="61"/>
      <c r="V1088" s="61"/>
      <c r="W1088" s="61"/>
      <c r="X1088" s="61"/>
      <c r="Y1088" s="61"/>
      <c r="Z1088" s="61"/>
      <c r="AA1088" s="61"/>
      <c r="AB1088" s="61"/>
      <c r="AC1088" s="61"/>
    </row>
    <row r="1089" ht="15.75" customHeight="1">
      <c r="A1089" s="61"/>
      <c r="B1089" s="61"/>
      <c r="C1089" s="61"/>
      <c r="D1089" s="61"/>
      <c r="E1089" s="61"/>
      <c r="F1089" s="61"/>
      <c r="G1089" s="61"/>
      <c r="H1089" s="61"/>
      <c r="I1089" s="61"/>
      <c r="J1089" s="61"/>
      <c r="K1089" s="61"/>
      <c r="L1089" s="61"/>
      <c r="M1089" s="61"/>
      <c r="N1089" s="61"/>
      <c r="O1089" s="61"/>
      <c r="P1089" s="61"/>
      <c r="Q1089" s="61"/>
      <c r="R1089" s="61"/>
      <c r="S1089" s="61"/>
      <c r="T1089" s="61"/>
      <c r="U1089" s="61"/>
      <c r="V1089" s="61"/>
      <c r="W1089" s="61"/>
      <c r="X1089" s="61"/>
      <c r="Y1089" s="61"/>
      <c r="Z1089" s="61"/>
      <c r="AA1089" s="61"/>
      <c r="AB1089" s="61"/>
      <c r="AC1089" s="61"/>
    </row>
    <row r="1090" ht="15.75" customHeight="1">
      <c r="A1090" s="61"/>
      <c r="B1090" s="61"/>
      <c r="C1090" s="61"/>
      <c r="D1090" s="61"/>
      <c r="E1090" s="61"/>
      <c r="F1090" s="61"/>
      <c r="G1090" s="61"/>
      <c r="H1090" s="61"/>
      <c r="I1090" s="61"/>
      <c r="J1090" s="61"/>
      <c r="K1090" s="61"/>
      <c r="L1090" s="61"/>
      <c r="M1090" s="61"/>
      <c r="N1090" s="61"/>
      <c r="O1090" s="61"/>
      <c r="P1090" s="61"/>
      <c r="Q1090" s="61"/>
      <c r="R1090" s="61"/>
      <c r="S1090" s="61"/>
      <c r="T1090" s="61"/>
      <c r="U1090" s="61"/>
      <c r="V1090" s="61"/>
      <c r="W1090" s="61"/>
      <c r="X1090" s="61"/>
      <c r="Y1090" s="61"/>
      <c r="Z1090" s="61"/>
      <c r="AA1090" s="61"/>
      <c r="AB1090" s="61"/>
      <c r="AC1090" s="61"/>
    </row>
    <row r="1091" ht="15.75" customHeight="1">
      <c r="A1091" s="61"/>
      <c r="B1091" s="61"/>
      <c r="C1091" s="61"/>
      <c r="D1091" s="61"/>
      <c r="E1091" s="61"/>
      <c r="F1091" s="61"/>
      <c r="G1091" s="61"/>
      <c r="H1091" s="61"/>
      <c r="I1091" s="61"/>
      <c r="J1091" s="61"/>
      <c r="K1091" s="61"/>
      <c r="L1091" s="61"/>
      <c r="M1091" s="61"/>
      <c r="N1091" s="61"/>
      <c r="O1091" s="61"/>
      <c r="P1091" s="61"/>
      <c r="Q1091" s="61"/>
      <c r="R1091" s="61"/>
      <c r="S1091" s="61"/>
      <c r="T1091" s="61"/>
      <c r="U1091" s="61"/>
      <c r="V1091" s="61"/>
      <c r="W1091" s="61"/>
      <c r="X1091" s="61"/>
      <c r="Y1091" s="61"/>
      <c r="Z1091" s="61"/>
      <c r="AA1091" s="61"/>
      <c r="AB1091" s="61"/>
      <c r="AC1091" s="61"/>
    </row>
    <row r="1092" ht="15.75" customHeight="1">
      <c r="A1092" s="61"/>
      <c r="B1092" s="61"/>
      <c r="C1092" s="61"/>
      <c r="D1092" s="61"/>
      <c r="E1092" s="61"/>
      <c r="F1092" s="61"/>
      <c r="G1092" s="61"/>
      <c r="H1092" s="61"/>
      <c r="I1092" s="61"/>
      <c r="J1092" s="61"/>
      <c r="K1092" s="61"/>
      <c r="L1092" s="61"/>
      <c r="M1092" s="61"/>
      <c r="N1092" s="61"/>
      <c r="O1092" s="61"/>
      <c r="P1092" s="61"/>
      <c r="Q1092" s="61"/>
      <c r="R1092" s="61"/>
      <c r="S1092" s="61"/>
      <c r="T1092" s="61"/>
      <c r="U1092" s="61"/>
      <c r="V1092" s="61"/>
      <c r="W1092" s="61"/>
      <c r="X1092" s="61"/>
      <c r="Y1092" s="61"/>
      <c r="Z1092" s="61"/>
      <c r="AA1092" s="61"/>
      <c r="AB1092" s="61"/>
      <c r="AC1092" s="61"/>
    </row>
    <row r="1093" ht="15.75" customHeight="1">
      <c r="A1093" s="61"/>
      <c r="B1093" s="61"/>
      <c r="C1093" s="61"/>
      <c r="D1093" s="61"/>
      <c r="E1093" s="61"/>
      <c r="F1093" s="61"/>
      <c r="G1093" s="61"/>
      <c r="H1093" s="61"/>
      <c r="I1093" s="61"/>
      <c r="J1093" s="61"/>
      <c r="K1093" s="61"/>
      <c r="L1093" s="61"/>
      <c r="M1093" s="61"/>
      <c r="N1093" s="61"/>
      <c r="O1093" s="61"/>
      <c r="P1093" s="61"/>
      <c r="Q1093" s="61"/>
      <c r="R1093" s="61"/>
      <c r="S1093" s="61"/>
      <c r="T1093" s="61"/>
      <c r="U1093" s="61"/>
      <c r="V1093" s="61"/>
      <c r="W1093" s="61"/>
      <c r="X1093" s="61"/>
      <c r="Y1093" s="61"/>
      <c r="Z1093" s="61"/>
      <c r="AA1093" s="61"/>
      <c r="AB1093" s="61"/>
      <c r="AC1093" s="61"/>
    </row>
    <row r="1094" ht="15.75" customHeight="1">
      <c r="A1094" s="61"/>
      <c r="B1094" s="61"/>
      <c r="C1094" s="61"/>
      <c r="D1094" s="61"/>
      <c r="E1094" s="61"/>
      <c r="F1094" s="61"/>
      <c r="G1094" s="61"/>
      <c r="H1094" s="61"/>
      <c r="I1094" s="61"/>
      <c r="J1094" s="61"/>
      <c r="K1094" s="61"/>
      <c r="L1094" s="61"/>
      <c r="M1094" s="61"/>
      <c r="N1094" s="61"/>
      <c r="O1094" s="61"/>
      <c r="P1094" s="61"/>
      <c r="Q1094" s="61"/>
      <c r="R1094" s="61"/>
      <c r="S1094" s="61"/>
      <c r="T1094" s="61"/>
      <c r="U1094" s="61"/>
      <c r="V1094" s="61"/>
      <c r="W1094" s="61"/>
      <c r="X1094" s="61"/>
      <c r="Y1094" s="61"/>
      <c r="Z1094" s="61"/>
      <c r="AA1094" s="61"/>
      <c r="AB1094" s="61"/>
      <c r="AC1094" s="61"/>
    </row>
    <row r="1095" ht="15.75" customHeight="1">
      <c r="A1095" s="61"/>
      <c r="B1095" s="61"/>
      <c r="C1095" s="61"/>
      <c r="D1095" s="61"/>
      <c r="E1095" s="61"/>
      <c r="F1095" s="61"/>
      <c r="G1095" s="61"/>
      <c r="H1095" s="61"/>
      <c r="I1095" s="61"/>
      <c r="J1095" s="61"/>
      <c r="K1095" s="61"/>
      <c r="L1095" s="61"/>
      <c r="M1095" s="61"/>
      <c r="N1095" s="61"/>
      <c r="O1095" s="61"/>
      <c r="P1095" s="61"/>
      <c r="Q1095" s="61"/>
      <c r="R1095" s="61"/>
      <c r="S1095" s="61"/>
      <c r="T1095" s="61"/>
      <c r="U1095" s="61"/>
      <c r="V1095" s="61"/>
      <c r="W1095" s="61"/>
      <c r="X1095" s="61"/>
      <c r="Y1095" s="61"/>
      <c r="Z1095" s="61"/>
      <c r="AA1095" s="61"/>
      <c r="AB1095" s="61"/>
      <c r="AC1095" s="61"/>
    </row>
    <row r="1096" ht="15.75" customHeight="1">
      <c r="A1096" s="61"/>
      <c r="B1096" s="61"/>
      <c r="C1096" s="61"/>
      <c r="D1096" s="61"/>
      <c r="E1096" s="61"/>
      <c r="F1096" s="61"/>
      <c r="G1096" s="61"/>
      <c r="H1096" s="61"/>
      <c r="I1096" s="61"/>
      <c r="J1096" s="61"/>
      <c r="K1096" s="61"/>
      <c r="L1096" s="61"/>
      <c r="M1096" s="61"/>
      <c r="N1096" s="61"/>
      <c r="O1096" s="61"/>
      <c r="P1096" s="61"/>
      <c r="Q1096" s="61"/>
      <c r="R1096" s="61"/>
      <c r="S1096" s="61"/>
      <c r="T1096" s="61"/>
      <c r="U1096" s="61"/>
      <c r="V1096" s="61"/>
      <c r="W1096" s="61"/>
      <c r="X1096" s="61"/>
      <c r="Y1096" s="61"/>
      <c r="Z1096" s="61"/>
      <c r="AA1096" s="61"/>
      <c r="AB1096" s="61"/>
      <c r="AC1096" s="61"/>
    </row>
    <row r="1097" ht="15.75" customHeight="1">
      <c r="A1097" s="61"/>
      <c r="B1097" s="61"/>
      <c r="C1097" s="61"/>
      <c r="D1097" s="61"/>
      <c r="E1097" s="61"/>
      <c r="F1097" s="61"/>
      <c r="G1097" s="61"/>
      <c r="H1097" s="61"/>
      <c r="I1097" s="61"/>
      <c r="J1097" s="61"/>
      <c r="K1097" s="61"/>
      <c r="L1097" s="61"/>
      <c r="M1097" s="61"/>
      <c r="N1097" s="61"/>
      <c r="O1097" s="61"/>
      <c r="P1097" s="61"/>
      <c r="Q1097" s="61"/>
      <c r="R1097" s="61"/>
      <c r="S1097" s="61"/>
      <c r="T1097" s="61"/>
      <c r="U1097" s="61"/>
      <c r="V1097" s="61"/>
      <c r="W1097" s="61"/>
      <c r="X1097" s="61"/>
      <c r="Y1097" s="61"/>
      <c r="Z1097" s="61"/>
      <c r="AA1097" s="61"/>
      <c r="AB1097" s="61"/>
      <c r="AC1097" s="61"/>
    </row>
    <row r="1098" ht="15.75" customHeight="1">
      <c r="A1098" s="61"/>
      <c r="B1098" s="61"/>
      <c r="C1098" s="61"/>
      <c r="D1098" s="61"/>
      <c r="E1098" s="61"/>
      <c r="F1098" s="61"/>
      <c r="G1098" s="61"/>
      <c r="H1098" s="61"/>
      <c r="I1098" s="61"/>
      <c r="J1098" s="61"/>
      <c r="K1098" s="61"/>
      <c r="L1098" s="61"/>
      <c r="M1098" s="61"/>
      <c r="N1098" s="61"/>
      <c r="O1098" s="61"/>
      <c r="P1098" s="61"/>
      <c r="Q1098" s="61"/>
      <c r="R1098" s="61"/>
      <c r="S1098" s="61"/>
      <c r="T1098" s="61"/>
      <c r="U1098" s="61"/>
      <c r="V1098" s="61"/>
      <c r="W1098" s="61"/>
      <c r="X1098" s="61"/>
      <c r="Y1098" s="61"/>
      <c r="Z1098" s="61"/>
      <c r="AA1098" s="61"/>
      <c r="AB1098" s="61"/>
      <c r="AC1098" s="61"/>
    </row>
    <row r="1099" ht="15.75" customHeight="1">
      <c r="A1099" s="61"/>
      <c r="B1099" s="61"/>
      <c r="C1099" s="61"/>
      <c r="D1099" s="61"/>
      <c r="E1099" s="61"/>
      <c r="F1099" s="61"/>
      <c r="G1099" s="61"/>
      <c r="H1099" s="61"/>
      <c r="I1099" s="61"/>
      <c r="J1099" s="61"/>
      <c r="K1099" s="61"/>
      <c r="L1099" s="61"/>
      <c r="M1099" s="61"/>
      <c r="N1099" s="61"/>
      <c r="O1099" s="61"/>
      <c r="P1099" s="61"/>
      <c r="Q1099" s="61"/>
      <c r="R1099" s="61"/>
      <c r="S1099" s="61"/>
      <c r="T1099" s="61"/>
      <c r="U1099" s="61"/>
      <c r="V1099" s="61"/>
      <c r="W1099" s="61"/>
      <c r="X1099" s="61"/>
      <c r="Y1099" s="61"/>
      <c r="Z1099" s="61"/>
      <c r="AA1099" s="61"/>
      <c r="AB1099" s="61"/>
      <c r="AC1099" s="61"/>
    </row>
    <row r="1100" ht="15.75" customHeight="1">
      <c r="A1100" s="61"/>
      <c r="B1100" s="61"/>
      <c r="C1100" s="61"/>
      <c r="D1100" s="61"/>
      <c r="E1100" s="61"/>
      <c r="F1100" s="61"/>
      <c r="G1100" s="61"/>
      <c r="H1100" s="61"/>
      <c r="I1100" s="61"/>
      <c r="J1100" s="61"/>
      <c r="K1100" s="61"/>
      <c r="L1100" s="61"/>
      <c r="M1100" s="61"/>
      <c r="N1100" s="61"/>
      <c r="O1100" s="61"/>
      <c r="P1100" s="61"/>
      <c r="Q1100" s="61"/>
      <c r="R1100" s="61"/>
      <c r="S1100" s="61"/>
      <c r="T1100" s="61"/>
      <c r="U1100" s="61"/>
      <c r="V1100" s="61"/>
      <c r="W1100" s="61"/>
      <c r="X1100" s="61"/>
      <c r="Y1100" s="61"/>
      <c r="Z1100" s="61"/>
      <c r="AA1100" s="61"/>
      <c r="AB1100" s="61"/>
      <c r="AC1100" s="61"/>
    </row>
    <row r="1101" ht="15.75" customHeight="1">
      <c r="A1101" s="61"/>
      <c r="B1101" s="61"/>
      <c r="C1101" s="61"/>
      <c r="D1101" s="61"/>
      <c r="E1101" s="61"/>
      <c r="F1101" s="61"/>
      <c r="G1101" s="61"/>
      <c r="H1101" s="61"/>
      <c r="I1101" s="61"/>
      <c r="J1101" s="61"/>
      <c r="K1101" s="61"/>
      <c r="L1101" s="61"/>
      <c r="M1101" s="61"/>
      <c r="N1101" s="61"/>
      <c r="O1101" s="61"/>
      <c r="P1101" s="61"/>
      <c r="Q1101" s="61"/>
      <c r="R1101" s="61"/>
      <c r="S1101" s="61"/>
      <c r="T1101" s="61"/>
      <c r="U1101" s="61"/>
      <c r="V1101" s="61"/>
      <c r="W1101" s="61"/>
      <c r="X1101" s="61"/>
      <c r="Y1101" s="61"/>
      <c r="Z1101" s="61"/>
      <c r="AA1101" s="61"/>
      <c r="AB1101" s="61"/>
      <c r="AC1101" s="61"/>
    </row>
    <row r="1102" ht="15.75" customHeight="1">
      <c r="A1102" s="61"/>
      <c r="B1102" s="61"/>
      <c r="C1102" s="61"/>
      <c r="D1102" s="61"/>
      <c r="E1102" s="61"/>
      <c r="F1102" s="61"/>
      <c r="G1102" s="61"/>
      <c r="H1102" s="61"/>
      <c r="I1102" s="61"/>
      <c r="J1102" s="61"/>
      <c r="K1102" s="61"/>
      <c r="L1102" s="61"/>
      <c r="M1102" s="61"/>
      <c r="N1102" s="61"/>
      <c r="O1102" s="61"/>
      <c r="P1102" s="61"/>
      <c r="Q1102" s="61"/>
      <c r="R1102" s="61"/>
      <c r="S1102" s="61"/>
      <c r="T1102" s="61"/>
      <c r="U1102" s="61"/>
      <c r="V1102" s="61"/>
      <c r="W1102" s="61"/>
      <c r="X1102" s="61"/>
      <c r="Y1102" s="61"/>
      <c r="Z1102" s="61"/>
      <c r="AA1102" s="61"/>
      <c r="AB1102" s="61"/>
      <c r="AC1102" s="61"/>
    </row>
    <row r="1103" ht="15.75" customHeight="1">
      <c r="A1103" s="61"/>
      <c r="B1103" s="61"/>
      <c r="C1103" s="61"/>
      <c r="D1103" s="61"/>
      <c r="E1103" s="61"/>
      <c r="F1103" s="61"/>
      <c r="G1103" s="61"/>
      <c r="H1103" s="61"/>
      <c r="I1103" s="61"/>
      <c r="J1103" s="61"/>
      <c r="K1103" s="61"/>
      <c r="L1103" s="61"/>
      <c r="M1103" s="61"/>
      <c r="N1103" s="61"/>
      <c r="O1103" s="61"/>
      <c r="P1103" s="61"/>
      <c r="Q1103" s="61"/>
      <c r="R1103" s="61"/>
      <c r="S1103" s="61"/>
      <c r="T1103" s="61"/>
      <c r="U1103" s="61"/>
      <c r="V1103" s="61"/>
      <c r="W1103" s="61"/>
      <c r="X1103" s="61"/>
      <c r="Y1103" s="61"/>
      <c r="Z1103" s="61"/>
      <c r="AA1103" s="61"/>
      <c r="AB1103" s="61"/>
      <c r="AC1103" s="61"/>
    </row>
    <row r="1104" ht="15.75" customHeight="1">
      <c r="A1104" s="61"/>
      <c r="B1104" s="61"/>
      <c r="C1104" s="61"/>
      <c r="D1104" s="61"/>
      <c r="E1104" s="61"/>
      <c r="F1104" s="61"/>
      <c r="G1104" s="61"/>
      <c r="H1104" s="61"/>
      <c r="I1104" s="61"/>
      <c r="J1104" s="61"/>
      <c r="K1104" s="61"/>
      <c r="L1104" s="61"/>
      <c r="M1104" s="61"/>
      <c r="N1104" s="61"/>
      <c r="O1104" s="61"/>
      <c r="P1104" s="61"/>
      <c r="Q1104" s="61"/>
      <c r="R1104" s="61"/>
      <c r="S1104" s="61"/>
      <c r="T1104" s="61"/>
      <c r="U1104" s="61"/>
      <c r="V1104" s="61"/>
      <c r="W1104" s="61"/>
      <c r="X1104" s="61"/>
      <c r="Y1104" s="61"/>
      <c r="Z1104" s="61"/>
      <c r="AA1104" s="61"/>
      <c r="AB1104" s="61"/>
      <c r="AC1104" s="61"/>
    </row>
    <row r="1105" ht="15.75" customHeight="1">
      <c r="A1105" s="61"/>
      <c r="B1105" s="61"/>
      <c r="C1105" s="61"/>
      <c r="D1105" s="61"/>
      <c r="E1105" s="61"/>
      <c r="F1105" s="61"/>
      <c r="G1105" s="61"/>
      <c r="H1105" s="61"/>
      <c r="I1105" s="61"/>
      <c r="J1105" s="61"/>
      <c r="K1105" s="61"/>
      <c r="L1105" s="61"/>
      <c r="M1105" s="61"/>
      <c r="N1105" s="61"/>
      <c r="O1105" s="61"/>
      <c r="P1105" s="61"/>
      <c r="Q1105" s="61"/>
      <c r="R1105" s="61"/>
      <c r="S1105" s="61"/>
      <c r="T1105" s="61"/>
      <c r="U1105" s="61"/>
      <c r="V1105" s="61"/>
      <c r="W1105" s="61"/>
      <c r="X1105" s="61"/>
      <c r="Y1105" s="61"/>
      <c r="Z1105" s="61"/>
      <c r="AA1105" s="61"/>
      <c r="AB1105" s="61"/>
      <c r="AC1105" s="61"/>
    </row>
    <row r="1106" ht="15.75" customHeight="1">
      <c r="A1106" s="61"/>
      <c r="B1106" s="61"/>
      <c r="C1106" s="61"/>
      <c r="D1106" s="61"/>
      <c r="E1106" s="61"/>
      <c r="F1106" s="61"/>
      <c r="G1106" s="61"/>
      <c r="H1106" s="61"/>
      <c r="I1106" s="61"/>
      <c r="J1106" s="61"/>
      <c r="K1106" s="61"/>
      <c r="L1106" s="61"/>
      <c r="M1106" s="61"/>
      <c r="N1106" s="61"/>
      <c r="O1106" s="61"/>
      <c r="P1106" s="61"/>
      <c r="Q1106" s="61"/>
      <c r="R1106" s="61"/>
      <c r="S1106" s="61"/>
      <c r="T1106" s="61"/>
      <c r="U1106" s="61"/>
      <c r="V1106" s="61"/>
      <c r="W1106" s="61"/>
      <c r="X1106" s="61"/>
      <c r="Y1106" s="61"/>
      <c r="Z1106" s="61"/>
      <c r="AA1106" s="61"/>
      <c r="AB1106" s="61"/>
      <c r="AC1106" s="61"/>
    </row>
    <row r="1107" ht="15.75" customHeight="1">
      <c r="A1107" s="61"/>
      <c r="B1107" s="61"/>
      <c r="C1107" s="61"/>
      <c r="D1107" s="61"/>
      <c r="E1107" s="61"/>
      <c r="F1107" s="61"/>
      <c r="G1107" s="61"/>
      <c r="H1107" s="61"/>
      <c r="I1107" s="61"/>
      <c r="J1107" s="61"/>
      <c r="K1107" s="61"/>
      <c r="L1107" s="61"/>
      <c r="M1107" s="61"/>
      <c r="N1107" s="61"/>
      <c r="O1107" s="61"/>
      <c r="P1107" s="61"/>
      <c r="Q1107" s="61"/>
      <c r="R1107" s="61"/>
      <c r="S1107" s="61"/>
      <c r="T1107" s="61"/>
      <c r="U1107" s="61"/>
      <c r="V1107" s="61"/>
      <c r="W1107" s="61"/>
      <c r="X1107" s="61"/>
      <c r="Y1107" s="61"/>
      <c r="Z1107" s="61"/>
      <c r="AA1107" s="61"/>
      <c r="AB1107" s="61"/>
      <c r="AC1107" s="61"/>
    </row>
    <row r="1108" ht="15.75" customHeight="1">
      <c r="A1108" s="61"/>
      <c r="B1108" s="61"/>
      <c r="C1108" s="61"/>
      <c r="D1108" s="61"/>
      <c r="E1108" s="61"/>
      <c r="F1108" s="61"/>
      <c r="G1108" s="61"/>
      <c r="H1108" s="61"/>
      <c r="I1108" s="61"/>
      <c r="J1108" s="61"/>
      <c r="K1108" s="61"/>
      <c r="L1108" s="61"/>
      <c r="M1108" s="61"/>
      <c r="N1108" s="61"/>
      <c r="O1108" s="61"/>
      <c r="P1108" s="61"/>
      <c r="Q1108" s="61"/>
      <c r="R1108" s="61"/>
      <c r="S1108" s="61"/>
      <c r="T1108" s="61"/>
      <c r="U1108" s="61"/>
      <c r="V1108" s="61"/>
      <c r="W1108" s="61"/>
      <c r="X1108" s="61"/>
      <c r="Y1108" s="61"/>
      <c r="Z1108" s="61"/>
      <c r="AA1108" s="61"/>
      <c r="AB1108" s="61"/>
      <c r="AC1108" s="61"/>
    </row>
    <row r="1109" ht="15.75" customHeight="1">
      <c r="A1109" s="61"/>
      <c r="B1109" s="61"/>
      <c r="C1109" s="61"/>
      <c r="D1109" s="61"/>
      <c r="E1109" s="61"/>
      <c r="F1109" s="61"/>
      <c r="G1109" s="61"/>
      <c r="H1109" s="61"/>
      <c r="I1109" s="61"/>
      <c r="J1109" s="61"/>
      <c r="K1109" s="61"/>
      <c r="L1109" s="61"/>
      <c r="M1109" s="61"/>
      <c r="N1109" s="61"/>
      <c r="O1109" s="61"/>
      <c r="P1109" s="61"/>
      <c r="Q1109" s="61"/>
      <c r="R1109" s="61"/>
      <c r="S1109" s="61"/>
      <c r="T1109" s="61"/>
      <c r="U1109" s="61"/>
      <c r="V1109" s="61"/>
      <c r="W1109" s="61"/>
      <c r="X1109" s="61"/>
      <c r="Y1109" s="61"/>
      <c r="Z1109" s="61"/>
      <c r="AA1109" s="61"/>
      <c r="AB1109" s="61"/>
      <c r="AC1109" s="61"/>
    </row>
    <row r="1110" ht="15.75" customHeight="1">
      <c r="A1110" s="61"/>
      <c r="B1110" s="61"/>
      <c r="C1110" s="61"/>
      <c r="D1110" s="61"/>
      <c r="E1110" s="61"/>
      <c r="F1110" s="61"/>
      <c r="G1110" s="61"/>
      <c r="H1110" s="61"/>
      <c r="I1110" s="61"/>
      <c r="J1110" s="61"/>
      <c r="K1110" s="61"/>
      <c r="L1110" s="61"/>
      <c r="M1110" s="61"/>
      <c r="N1110" s="61"/>
      <c r="O1110" s="61"/>
      <c r="P1110" s="61"/>
      <c r="Q1110" s="61"/>
      <c r="R1110" s="61"/>
      <c r="S1110" s="61"/>
      <c r="T1110" s="61"/>
      <c r="U1110" s="61"/>
      <c r="V1110" s="61"/>
      <c r="W1110" s="61"/>
      <c r="X1110" s="61"/>
      <c r="Y1110" s="61"/>
      <c r="Z1110" s="61"/>
      <c r="AA1110" s="61"/>
      <c r="AB1110" s="61"/>
      <c r="AC1110" s="61"/>
    </row>
    <row r="1111" ht="15.75" customHeight="1">
      <c r="A1111" s="61"/>
      <c r="B1111" s="61"/>
      <c r="C1111" s="61"/>
      <c r="D1111" s="61"/>
      <c r="E1111" s="61"/>
      <c r="F1111" s="61"/>
      <c r="G1111" s="61"/>
      <c r="H1111" s="61"/>
      <c r="I1111" s="61"/>
      <c r="J1111" s="61"/>
      <c r="K1111" s="61"/>
      <c r="L1111" s="61"/>
      <c r="M1111" s="61"/>
      <c r="N1111" s="61"/>
      <c r="O1111" s="61"/>
      <c r="P1111" s="61"/>
      <c r="Q1111" s="61"/>
      <c r="R1111" s="61"/>
      <c r="S1111" s="61"/>
      <c r="T1111" s="61"/>
      <c r="U1111" s="61"/>
      <c r="V1111" s="61"/>
      <c r="W1111" s="61"/>
      <c r="X1111" s="61"/>
      <c r="Y1111" s="61"/>
      <c r="Z1111" s="61"/>
      <c r="AA1111" s="61"/>
      <c r="AB1111" s="61"/>
      <c r="AC1111" s="61"/>
    </row>
    <row r="1112" ht="15.75" customHeight="1">
      <c r="A1112" s="61"/>
      <c r="B1112" s="61"/>
      <c r="C1112" s="61"/>
      <c r="D1112" s="61"/>
      <c r="E1112" s="61"/>
      <c r="F1112" s="61"/>
      <c r="G1112" s="61"/>
      <c r="H1112" s="61"/>
      <c r="I1112" s="61"/>
      <c r="J1112" s="61"/>
      <c r="K1112" s="61"/>
      <c r="L1112" s="61"/>
      <c r="M1112" s="61"/>
      <c r="N1112" s="61"/>
      <c r="O1112" s="61"/>
      <c r="P1112" s="61"/>
      <c r="Q1112" s="61"/>
      <c r="R1112" s="61"/>
      <c r="S1112" s="61"/>
      <c r="T1112" s="61"/>
      <c r="U1112" s="61"/>
      <c r="V1112" s="61"/>
      <c r="W1112" s="61"/>
      <c r="X1112" s="61"/>
      <c r="Y1112" s="61"/>
      <c r="Z1112" s="61"/>
      <c r="AA1112" s="61"/>
      <c r="AB1112" s="61"/>
      <c r="AC1112" s="61"/>
    </row>
    <row r="1113" ht="15.75" customHeight="1">
      <c r="A1113" s="61"/>
      <c r="B1113" s="61"/>
      <c r="C1113" s="61"/>
      <c r="D1113" s="61"/>
      <c r="E1113" s="61"/>
      <c r="F1113" s="61"/>
      <c r="G1113" s="61"/>
      <c r="H1113" s="61"/>
      <c r="I1113" s="61"/>
      <c r="J1113" s="61"/>
      <c r="K1113" s="61"/>
      <c r="L1113" s="61"/>
      <c r="M1113" s="61"/>
      <c r="N1113" s="61"/>
      <c r="O1113" s="61"/>
      <c r="P1113" s="61"/>
      <c r="Q1113" s="61"/>
      <c r="R1113" s="61"/>
      <c r="S1113" s="61"/>
      <c r="T1113" s="61"/>
      <c r="U1113" s="61"/>
      <c r="V1113" s="61"/>
      <c r="W1113" s="61"/>
      <c r="X1113" s="61"/>
      <c r="Y1113" s="61"/>
      <c r="Z1113" s="61"/>
      <c r="AA1113" s="61"/>
      <c r="AB1113" s="61"/>
      <c r="AC1113" s="61"/>
    </row>
    <row r="1114" ht="15.75" customHeight="1">
      <c r="A1114" s="61"/>
      <c r="B1114" s="61"/>
      <c r="C1114" s="61"/>
      <c r="D1114" s="61"/>
      <c r="E1114" s="61"/>
      <c r="F1114" s="61"/>
      <c r="G1114" s="61"/>
      <c r="H1114" s="61"/>
      <c r="I1114" s="61"/>
      <c r="J1114" s="61"/>
      <c r="K1114" s="61"/>
      <c r="L1114" s="61"/>
      <c r="M1114" s="61"/>
      <c r="N1114" s="61"/>
      <c r="O1114" s="61"/>
      <c r="P1114" s="61"/>
      <c r="Q1114" s="61"/>
      <c r="R1114" s="61"/>
      <c r="S1114" s="61"/>
      <c r="T1114" s="61"/>
      <c r="U1114" s="61"/>
      <c r="V1114" s="61"/>
      <c r="W1114" s="61"/>
      <c r="X1114" s="61"/>
      <c r="Y1114" s="61"/>
      <c r="Z1114" s="61"/>
      <c r="AA1114" s="61"/>
      <c r="AB1114" s="61"/>
      <c r="AC1114" s="61"/>
    </row>
    <row r="1115" ht="15.75" customHeight="1">
      <c r="A1115" s="61"/>
      <c r="B1115" s="61"/>
      <c r="C1115" s="61"/>
      <c r="D1115" s="61"/>
      <c r="E1115" s="61"/>
      <c r="F1115" s="61"/>
      <c r="G1115" s="61"/>
      <c r="H1115" s="61"/>
      <c r="I1115" s="61"/>
      <c r="J1115" s="61"/>
      <c r="K1115" s="61"/>
      <c r="L1115" s="61"/>
      <c r="M1115" s="61"/>
      <c r="N1115" s="61"/>
      <c r="O1115" s="61"/>
      <c r="P1115" s="61"/>
      <c r="Q1115" s="61"/>
      <c r="R1115" s="61"/>
      <c r="S1115" s="61"/>
      <c r="T1115" s="61"/>
      <c r="U1115" s="61"/>
      <c r="V1115" s="61"/>
      <c r="W1115" s="61"/>
      <c r="X1115" s="61"/>
      <c r="Y1115" s="61"/>
      <c r="Z1115" s="61"/>
      <c r="AA1115" s="61"/>
      <c r="AB1115" s="61"/>
      <c r="AC1115" s="61"/>
    </row>
    <row r="1116" ht="15.75" customHeight="1">
      <c r="A1116" s="61"/>
      <c r="B1116" s="61"/>
      <c r="C1116" s="61"/>
      <c r="D1116" s="61"/>
      <c r="E1116" s="61"/>
      <c r="F1116" s="61"/>
      <c r="G1116" s="61"/>
      <c r="H1116" s="61"/>
      <c r="I1116" s="61"/>
      <c r="J1116" s="61"/>
      <c r="K1116" s="61"/>
      <c r="L1116" s="61"/>
      <c r="M1116" s="61"/>
      <c r="N1116" s="61"/>
      <c r="O1116" s="61"/>
      <c r="P1116" s="61"/>
      <c r="Q1116" s="61"/>
      <c r="R1116" s="61"/>
      <c r="S1116" s="61"/>
      <c r="T1116" s="61"/>
      <c r="U1116" s="61"/>
      <c r="V1116" s="61"/>
      <c r="W1116" s="61"/>
      <c r="X1116" s="61"/>
      <c r="Y1116" s="61"/>
      <c r="Z1116" s="61"/>
      <c r="AA1116" s="61"/>
      <c r="AB1116" s="61"/>
      <c r="AC1116" s="61"/>
    </row>
    <row r="1117" ht="15.75" customHeight="1">
      <c r="A1117" s="61"/>
      <c r="B1117" s="61"/>
      <c r="C1117" s="61"/>
      <c r="D1117" s="61"/>
      <c r="E1117" s="61"/>
      <c r="F1117" s="61"/>
      <c r="G1117" s="61"/>
      <c r="H1117" s="61"/>
      <c r="I1117" s="61"/>
      <c r="J1117" s="61"/>
      <c r="K1117" s="61"/>
      <c r="L1117" s="61"/>
      <c r="M1117" s="61"/>
      <c r="N1117" s="61"/>
      <c r="O1117" s="61"/>
      <c r="P1117" s="61"/>
      <c r="Q1117" s="61"/>
      <c r="R1117" s="61"/>
      <c r="S1117" s="61"/>
      <c r="T1117" s="61"/>
      <c r="U1117" s="61"/>
      <c r="V1117" s="61"/>
      <c r="W1117" s="61"/>
      <c r="X1117" s="61"/>
      <c r="Y1117" s="61"/>
      <c r="Z1117" s="61"/>
      <c r="AA1117" s="61"/>
      <c r="AB1117" s="61"/>
      <c r="AC1117" s="61"/>
    </row>
    <row r="1118" ht="15.75" customHeight="1">
      <c r="A1118" s="61"/>
      <c r="B1118" s="61"/>
      <c r="C1118" s="61"/>
      <c r="D1118" s="61"/>
      <c r="E1118" s="61"/>
      <c r="F1118" s="61"/>
      <c r="G1118" s="61"/>
      <c r="H1118" s="61"/>
      <c r="I1118" s="61"/>
      <c r="J1118" s="61"/>
      <c r="K1118" s="61"/>
      <c r="L1118" s="61"/>
      <c r="M1118" s="61"/>
      <c r="N1118" s="61"/>
      <c r="O1118" s="61"/>
      <c r="P1118" s="61"/>
      <c r="Q1118" s="61"/>
      <c r="R1118" s="61"/>
      <c r="S1118" s="61"/>
      <c r="T1118" s="61"/>
      <c r="U1118" s="61"/>
      <c r="V1118" s="61"/>
      <c r="W1118" s="61"/>
      <c r="X1118" s="61"/>
      <c r="Y1118" s="61"/>
      <c r="Z1118" s="61"/>
      <c r="AA1118" s="61"/>
      <c r="AB1118" s="61"/>
      <c r="AC1118" s="61"/>
    </row>
    <row r="1119" ht="15.75" customHeight="1">
      <c r="A1119" s="61"/>
      <c r="B1119" s="61"/>
      <c r="C1119" s="61"/>
      <c r="D1119" s="61"/>
      <c r="E1119" s="61"/>
      <c r="F1119" s="61"/>
      <c r="G1119" s="61"/>
      <c r="H1119" s="61"/>
      <c r="I1119" s="61"/>
      <c r="J1119" s="61"/>
      <c r="K1119" s="61"/>
      <c r="L1119" s="61"/>
      <c r="M1119" s="61"/>
      <c r="N1119" s="61"/>
      <c r="O1119" s="61"/>
      <c r="P1119" s="61"/>
      <c r="Q1119" s="61"/>
      <c r="R1119" s="61"/>
      <c r="S1119" s="61"/>
      <c r="T1119" s="61"/>
      <c r="U1119" s="61"/>
      <c r="V1119" s="61"/>
      <c r="W1119" s="61"/>
      <c r="X1119" s="61"/>
      <c r="Y1119" s="61"/>
      <c r="Z1119" s="61"/>
      <c r="AA1119" s="61"/>
      <c r="AB1119" s="61"/>
      <c r="AC1119" s="61"/>
    </row>
    <row r="1120" ht="15.75" customHeight="1">
      <c r="A1120" s="61"/>
      <c r="B1120" s="61"/>
      <c r="C1120" s="61"/>
      <c r="D1120" s="61"/>
      <c r="E1120" s="61"/>
      <c r="F1120" s="61"/>
      <c r="G1120" s="61"/>
      <c r="H1120" s="61"/>
      <c r="I1120" s="61"/>
      <c r="J1120" s="61"/>
      <c r="K1120" s="61"/>
      <c r="L1120" s="61"/>
      <c r="M1120" s="61"/>
      <c r="N1120" s="61"/>
      <c r="O1120" s="61"/>
      <c r="P1120" s="61"/>
      <c r="Q1120" s="61"/>
      <c r="R1120" s="61"/>
      <c r="S1120" s="61"/>
      <c r="T1120" s="61"/>
      <c r="U1120" s="61"/>
      <c r="V1120" s="61"/>
      <c r="W1120" s="61"/>
      <c r="X1120" s="61"/>
      <c r="Y1120" s="61"/>
      <c r="Z1120" s="61"/>
      <c r="AA1120" s="61"/>
      <c r="AB1120" s="61"/>
      <c r="AC1120" s="61"/>
    </row>
    <row r="1121" ht="15.75" customHeight="1">
      <c r="A1121" s="61"/>
      <c r="B1121" s="61"/>
      <c r="C1121" s="61"/>
      <c r="D1121" s="61"/>
      <c r="E1121" s="61"/>
      <c r="F1121" s="61"/>
      <c r="G1121" s="61"/>
      <c r="H1121" s="61"/>
      <c r="I1121" s="61"/>
      <c r="J1121" s="61"/>
      <c r="K1121" s="61"/>
      <c r="L1121" s="61"/>
      <c r="M1121" s="61"/>
      <c r="N1121" s="61"/>
      <c r="O1121" s="61"/>
      <c r="P1121" s="61"/>
      <c r="Q1121" s="61"/>
      <c r="R1121" s="61"/>
      <c r="S1121" s="61"/>
      <c r="T1121" s="61"/>
      <c r="U1121" s="61"/>
      <c r="V1121" s="61"/>
      <c r="W1121" s="61"/>
      <c r="X1121" s="61"/>
      <c r="Y1121" s="61"/>
      <c r="Z1121" s="61"/>
      <c r="AA1121" s="61"/>
      <c r="AB1121" s="61"/>
      <c r="AC1121" s="61"/>
    </row>
    <row r="1122" ht="15.75" customHeight="1">
      <c r="A1122" s="61"/>
      <c r="B1122" s="61"/>
      <c r="C1122" s="61"/>
      <c r="D1122" s="61"/>
      <c r="E1122" s="61"/>
      <c r="F1122" s="61"/>
      <c r="G1122" s="61"/>
      <c r="H1122" s="61"/>
      <c r="I1122" s="61"/>
      <c r="J1122" s="61"/>
      <c r="K1122" s="61"/>
      <c r="L1122" s="61"/>
      <c r="M1122" s="61"/>
      <c r="N1122" s="61"/>
      <c r="O1122" s="61"/>
      <c r="P1122" s="61"/>
      <c r="Q1122" s="61"/>
      <c r="R1122" s="61"/>
      <c r="S1122" s="61"/>
      <c r="T1122" s="61"/>
      <c r="U1122" s="61"/>
      <c r="V1122" s="61"/>
      <c r="W1122" s="61"/>
      <c r="X1122" s="61"/>
      <c r="Y1122" s="61"/>
      <c r="Z1122" s="61"/>
      <c r="AA1122" s="61"/>
      <c r="AB1122" s="61"/>
      <c r="AC1122" s="61"/>
    </row>
    <row r="1123" ht="15.75" customHeight="1">
      <c r="A1123" s="61"/>
      <c r="B1123" s="61"/>
      <c r="C1123" s="61"/>
      <c r="D1123" s="61"/>
      <c r="E1123" s="61"/>
      <c r="F1123" s="61"/>
      <c r="G1123" s="61"/>
      <c r="H1123" s="61"/>
      <c r="I1123" s="61"/>
      <c r="J1123" s="61"/>
      <c r="K1123" s="61"/>
      <c r="L1123" s="61"/>
      <c r="M1123" s="61"/>
      <c r="N1123" s="61"/>
      <c r="O1123" s="61"/>
      <c r="P1123" s="61"/>
      <c r="Q1123" s="61"/>
      <c r="R1123" s="61"/>
      <c r="S1123" s="61"/>
      <c r="T1123" s="61"/>
      <c r="U1123" s="61"/>
      <c r="V1123" s="61"/>
      <c r="W1123" s="61"/>
      <c r="X1123" s="61"/>
      <c r="Y1123" s="61"/>
      <c r="Z1123" s="61"/>
      <c r="AA1123" s="61"/>
      <c r="AB1123" s="61"/>
      <c r="AC1123" s="61"/>
    </row>
    <row r="1124" ht="15.75" customHeight="1">
      <c r="A1124" s="61"/>
      <c r="B1124" s="61"/>
      <c r="C1124" s="61"/>
      <c r="D1124" s="61"/>
      <c r="E1124" s="61"/>
      <c r="F1124" s="61"/>
      <c r="G1124" s="61"/>
      <c r="H1124" s="61"/>
      <c r="I1124" s="61"/>
      <c r="J1124" s="61"/>
      <c r="K1124" s="61"/>
      <c r="L1124" s="61"/>
      <c r="M1124" s="61"/>
      <c r="N1124" s="61"/>
      <c r="O1124" s="61"/>
      <c r="P1124" s="61"/>
      <c r="Q1124" s="61"/>
      <c r="R1124" s="61"/>
      <c r="S1124" s="61"/>
      <c r="T1124" s="61"/>
      <c r="U1124" s="61"/>
      <c r="V1124" s="61"/>
      <c r="W1124" s="61"/>
      <c r="X1124" s="61"/>
      <c r="Y1124" s="61"/>
      <c r="Z1124" s="61"/>
      <c r="AA1124" s="61"/>
      <c r="AB1124" s="61"/>
      <c r="AC1124" s="61"/>
    </row>
    <row r="1125" ht="15.75" customHeight="1">
      <c r="A1125" s="61"/>
      <c r="B1125" s="61"/>
      <c r="C1125" s="61"/>
      <c r="D1125" s="61"/>
      <c r="E1125" s="61"/>
      <c r="F1125" s="61"/>
      <c r="G1125" s="61"/>
      <c r="H1125" s="61"/>
      <c r="I1125" s="61"/>
      <c r="J1125" s="61"/>
      <c r="K1125" s="61"/>
      <c r="L1125" s="61"/>
      <c r="M1125" s="61"/>
      <c r="N1125" s="61"/>
      <c r="O1125" s="61"/>
      <c r="P1125" s="61"/>
      <c r="Q1125" s="61"/>
      <c r="R1125" s="61"/>
      <c r="S1125" s="61"/>
      <c r="T1125" s="61"/>
      <c r="U1125" s="61"/>
      <c r="V1125" s="61"/>
      <c r="W1125" s="61"/>
      <c r="X1125" s="61"/>
      <c r="Y1125" s="61"/>
      <c r="Z1125" s="61"/>
      <c r="AA1125" s="61"/>
      <c r="AB1125" s="61"/>
      <c r="AC1125" s="61"/>
    </row>
    <row r="1126" ht="15.75" customHeight="1">
      <c r="A1126" s="61"/>
      <c r="B1126" s="61"/>
      <c r="C1126" s="61"/>
      <c r="D1126" s="61"/>
      <c r="E1126" s="61"/>
      <c r="F1126" s="61"/>
      <c r="G1126" s="61"/>
      <c r="H1126" s="61"/>
      <c r="I1126" s="61"/>
      <c r="J1126" s="61"/>
      <c r="K1126" s="61"/>
      <c r="L1126" s="61"/>
      <c r="M1126" s="61"/>
      <c r="N1126" s="61"/>
      <c r="O1126" s="61"/>
      <c r="P1126" s="61"/>
      <c r="Q1126" s="61"/>
      <c r="R1126" s="61"/>
      <c r="S1126" s="61"/>
      <c r="T1126" s="61"/>
      <c r="U1126" s="61"/>
      <c r="V1126" s="61"/>
      <c r="W1126" s="61"/>
      <c r="X1126" s="61"/>
      <c r="Y1126" s="61"/>
      <c r="Z1126" s="61"/>
      <c r="AA1126" s="61"/>
      <c r="AB1126" s="61"/>
      <c r="AC1126" s="61"/>
    </row>
    <row r="1127" ht="15.75" customHeight="1">
      <c r="A1127" s="61"/>
      <c r="B1127" s="61"/>
      <c r="C1127" s="61"/>
      <c r="D1127" s="61"/>
      <c r="E1127" s="61"/>
      <c r="F1127" s="61"/>
      <c r="G1127" s="61"/>
      <c r="H1127" s="61"/>
      <c r="I1127" s="61"/>
      <c r="J1127" s="61"/>
      <c r="K1127" s="61"/>
      <c r="L1127" s="61"/>
      <c r="M1127" s="61"/>
      <c r="N1127" s="61"/>
      <c r="O1127" s="61"/>
      <c r="P1127" s="61"/>
      <c r="Q1127" s="61"/>
      <c r="R1127" s="61"/>
      <c r="S1127" s="61"/>
      <c r="T1127" s="61"/>
      <c r="U1127" s="61"/>
      <c r="V1127" s="61"/>
      <c r="W1127" s="61"/>
      <c r="X1127" s="61"/>
      <c r="Y1127" s="61"/>
      <c r="Z1127" s="61"/>
      <c r="AA1127" s="61"/>
      <c r="AB1127" s="61"/>
      <c r="AC1127" s="61"/>
    </row>
    <row r="1128" ht="15.75" customHeight="1">
      <c r="A1128" s="61"/>
      <c r="B1128" s="61"/>
      <c r="C1128" s="61"/>
      <c r="D1128" s="61"/>
      <c r="E1128" s="61"/>
      <c r="F1128" s="61"/>
      <c r="G1128" s="61"/>
      <c r="H1128" s="61"/>
      <c r="I1128" s="61"/>
      <c r="J1128" s="61"/>
      <c r="K1128" s="61"/>
      <c r="L1128" s="61"/>
      <c r="M1128" s="61"/>
      <c r="N1128" s="61"/>
      <c r="O1128" s="61"/>
      <c r="P1128" s="61"/>
      <c r="Q1128" s="61"/>
      <c r="R1128" s="61"/>
      <c r="S1128" s="61"/>
      <c r="T1128" s="61"/>
      <c r="U1128" s="61"/>
      <c r="V1128" s="61"/>
      <c r="W1128" s="61"/>
      <c r="X1128" s="61"/>
      <c r="Y1128" s="61"/>
      <c r="Z1128" s="61"/>
      <c r="AA1128" s="61"/>
      <c r="AB1128" s="61"/>
      <c r="AC1128" s="61"/>
    </row>
    <row r="1129" ht="15.75" customHeight="1">
      <c r="A1129" s="61"/>
      <c r="B1129" s="61"/>
      <c r="C1129" s="61"/>
      <c r="D1129" s="61"/>
      <c r="E1129" s="61"/>
      <c r="F1129" s="61"/>
      <c r="G1129" s="61"/>
      <c r="H1129" s="61"/>
      <c r="I1129" s="61"/>
      <c r="J1129" s="61"/>
      <c r="K1129" s="61"/>
      <c r="L1129" s="61"/>
      <c r="M1129" s="61"/>
      <c r="N1129" s="61"/>
      <c r="O1129" s="61"/>
      <c r="P1129" s="61"/>
      <c r="Q1129" s="61"/>
      <c r="R1129" s="61"/>
      <c r="S1129" s="61"/>
      <c r="T1129" s="61"/>
      <c r="U1129" s="61"/>
      <c r="V1129" s="61"/>
      <c r="W1129" s="61"/>
      <c r="X1129" s="61"/>
      <c r="Y1129" s="61"/>
      <c r="Z1129" s="61"/>
      <c r="AA1129" s="61"/>
      <c r="AB1129" s="61"/>
      <c r="AC1129" s="61"/>
    </row>
    <row r="1130" ht="15.75" customHeight="1">
      <c r="A1130" s="61"/>
      <c r="B1130" s="61"/>
      <c r="C1130" s="61"/>
      <c r="D1130" s="61"/>
      <c r="E1130" s="61"/>
      <c r="F1130" s="61"/>
      <c r="G1130" s="61"/>
      <c r="H1130" s="61"/>
      <c r="I1130" s="61"/>
      <c r="J1130" s="61"/>
      <c r="K1130" s="61"/>
      <c r="L1130" s="61"/>
      <c r="M1130" s="61"/>
      <c r="N1130" s="61"/>
      <c r="O1130" s="61"/>
      <c r="P1130" s="61"/>
      <c r="Q1130" s="61"/>
      <c r="R1130" s="61"/>
      <c r="S1130" s="61"/>
      <c r="T1130" s="61"/>
      <c r="U1130" s="61"/>
      <c r="V1130" s="61"/>
      <c r="W1130" s="61"/>
      <c r="X1130" s="61"/>
      <c r="Y1130" s="61"/>
      <c r="Z1130" s="61"/>
      <c r="AA1130" s="61"/>
      <c r="AB1130" s="61"/>
      <c r="AC1130" s="61"/>
    </row>
    <row r="1131" ht="15.75" customHeight="1">
      <c r="A1131" s="61"/>
      <c r="B1131" s="61"/>
      <c r="C1131" s="61"/>
      <c r="D1131" s="61"/>
      <c r="E1131" s="61"/>
      <c r="F1131" s="61"/>
      <c r="G1131" s="61"/>
      <c r="H1131" s="61"/>
      <c r="I1131" s="61"/>
      <c r="J1131" s="61"/>
      <c r="K1131" s="61"/>
      <c r="L1131" s="61"/>
      <c r="M1131" s="61"/>
      <c r="N1131" s="61"/>
      <c r="O1131" s="61"/>
      <c r="P1131" s="61"/>
      <c r="Q1131" s="61"/>
      <c r="R1131" s="61"/>
      <c r="S1131" s="61"/>
      <c r="T1131" s="61"/>
      <c r="U1131" s="61"/>
      <c r="V1131" s="61"/>
      <c r="W1131" s="61"/>
      <c r="X1131" s="61"/>
      <c r="Y1131" s="61"/>
      <c r="Z1131" s="61"/>
      <c r="AA1131" s="61"/>
      <c r="AB1131" s="61"/>
      <c r="AC1131" s="61"/>
    </row>
    <row r="1132" ht="15.75" customHeight="1">
      <c r="A1132" s="61"/>
      <c r="B1132" s="61"/>
      <c r="C1132" s="61"/>
      <c r="D1132" s="61"/>
      <c r="E1132" s="61"/>
      <c r="F1132" s="61"/>
      <c r="G1132" s="61"/>
      <c r="H1132" s="61"/>
      <c r="I1132" s="61"/>
      <c r="J1132" s="61"/>
      <c r="K1132" s="61"/>
      <c r="L1132" s="61"/>
      <c r="M1132" s="61"/>
      <c r="N1132" s="61"/>
      <c r="O1132" s="61"/>
      <c r="P1132" s="61"/>
      <c r="Q1132" s="61"/>
      <c r="R1132" s="61"/>
      <c r="S1132" s="61"/>
      <c r="T1132" s="61"/>
      <c r="U1132" s="61"/>
      <c r="V1132" s="61"/>
      <c r="W1132" s="61"/>
      <c r="X1132" s="61"/>
      <c r="Y1132" s="61"/>
      <c r="Z1132" s="61"/>
      <c r="AA1132" s="61"/>
      <c r="AB1132" s="61"/>
      <c r="AC1132" s="61"/>
    </row>
    <row r="1133" ht="15.75" customHeight="1">
      <c r="A1133" s="61"/>
      <c r="B1133" s="61"/>
      <c r="C1133" s="61"/>
      <c r="D1133" s="61"/>
      <c r="E1133" s="61"/>
      <c r="F1133" s="61"/>
      <c r="G1133" s="61"/>
      <c r="H1133" s="61"/>
      <c r="I1133" s="61"/>
      <c r="J1133" s="61"/>
      <c r="K1133" s="61"/>
      <c r="L1133" s="61"/>
      <c r="M1133" s="61"/>
      <c r="N1133" s="61"/>
      <c r="O1133" s="61"/>
      <c r="P1133" s="61"/>
      <c r="Q1133" s="61"/>
      <c r="R1133" s="61"/>
      <c r="S1133" s="61"/>
      <c r="T1133" s="61"/>
      <c r="U1133" s="61"/>
      <c r="V1133" s="61"/>
      <c r="W1133" s="61"/>
      <c r="X1133" s="61"/>
      <c r="Y1133" s="61"/>
      <c r="Z1133" s="61"/>
      <c r="AA1133" s="61"/>
      <c r="AB1133" s="61"/>
      <c r="AC1133" s="61"/>
    </row>
    <row r="1134" ht="15.75" customHeight="1">
      <c r="A1134" s="61"/>
      <c r="B1134" s="61"/>
      <c r="C1134" s="61"/>
      <c r="D1134" s="61"/>
      <c r="E1134" s="61"/>
      <c r="F1134" s="61"/>
      <c r="G1134" s="61"/>
      <c r="H1134" s="61"/>
      <c r="I1134" s="61"/>
      <c r="J1134" s="61"/>
      <c r="K1134" s="61"/>
      <c r="L1134" s="61"/>
      <c r="M1134" s="61"/>
      <c r="N1134" s="61"/>
      <c r="O1134" s="61"/>
      <c r="P1134" s="61"/>
      <c r="Q1134" s="61"/>
      <c r="R1134" s="61"/>
      <c r="S1134" s="61"/>
      <c r="T1134" s="61"/>
      <c r="U1134" s="61"/>
      <c r="V1134" s="61"/>
      <c r="W1134" s="61"/>
      <c r="X1134" s="61"/>
      <c r="Y1134" s="61"/>
      <c r="Z1134" s="61"/>
      <c r="AA1134" s="61"/>
      <c r="AB1134" s="61"/>
      <c r="AC1134" s="61"/>
    </row>
    <row r="1135" ht="15.75" customHeight="1">
      <c r="A1135" s="61"/>
      <c r="B1135" s="61"/>
      <c r="C1135" s="61"/>
      <c r="D1135" s="61"/>
      <c r="E1135" s="61"/>
      <c r="F1135" s="61"/>
      <c r="G1135" s="61"/>
      <c r="H1135" s="61"/>
      <c r="I1135" s="61"/>
      <c r="J1135" s="61"/>
      <c r="K1135" s="61"/>
      <c r="L1135" s="61"/>
      <c r="M1135" s="61"/>
      <c r="N1135" s="61"/>
      <c r="O1135" s="61"/>
      <c r="P1135" s="61"/>
      <c r="Q1135" s="61"/>
      <c r="R1135" s="61"/>
      <c r="S1135" s="61"/>
      <c r="T1135" s="61"/>
      <c r="U1135" s="61"/>
      <c r="V1135" s="61"/>
      <c r="W1135" s="61"/>
      <c r="X1135" s="61"/>
      <c r="Y1135" s="61"/>
      <c r="Z1135" s="61"/>
      <c r="AA1135" s="61"/>
      <c r="AB1135" s="61"/>
      <c r="AC1135" s="61"/>
    </row>
    <row r="1136" ht="15.75" customHeight="1">
      <c r="A1136" s="61"/>
      <c r="B1136" s="61"/>
      <c r="C1136" s="61"/>
      <c r="D1136" s="61"/>
      <c r="E1136" s="61"/>
      <c r="F1136" s="61"/>
      <c r="G1136" s="61"/>
      <c r="H1136" s="61"/>
      <c r="I1136" s="61"/>
      <c r="J1136" s="61"/>
      <c r="K1136" s="61"/>
      <c r="L1136" s="61"/>
      <c r="M1136" s="61"/>
      <c r="N1136" s="61"/>
      <c r="O1136" s="61"/>
      <c r="P1136" s="61"/>
      <c r="Q1136" s="61"/>
      <c r="R1136" s="61"/>
      <c r="S1136" s="61"/>
      <c r="T1136" s="61"/>
      <c r="U1136" s="61"/>
      <c r="V1136" s="61"/>
      <c r="W1136" s="61"/>
      <c r="X1136" s="61"/>
      <c r="Y1136" s="61"/>
      <c r="Z1136" s="61"/>
      <c r="AA1136" s="61"/>
      <c r="AB1136" s="61"/>
      <c r="AC1136" s="61"/>
    </row>
    <row r="1137" ht="15.75" customHeight="1">
      <c r="A1137" s="61"/>
      <c r="B1137" s="61"/>
      <c r="C1137" s="61"/>
      <c r="D1137" s="61"/>
      <c r="E1137" s="61"/>
      <c r="F1137" s="61"/>
      <c r="G1137" s="61"/>
      <c r="H1137" s="61"/>
      <c r="I1137" s="61"/>
      <c r="J1137" s="61"/>
      <c r="K1137" s="61"/>
      <c r="L1137" s="61"/>
      <c r="M1137" s="61"/>
      <c r="N1137" s="61"/>
      <c r="O1137" s="61"/>
      <c r="P1137" s="61"/>
      <c r="Q1137" s="61"/>
      <c r="R1137" s="61"/>
      <c r="S1137" s="61"/>
      <c r="T1137" s="61"/>
      <c r="U1137" s="61"/>
      <c r="V1137" s="61"/>
      <c r="W1137" s="61"/>
      <c r="X1137" s="61"/>
      <c r="Y1137" s="61"/>
      <c r="Z1137" s="61"/>
      <c r="AA1137" s="61"/>
      <c r="AB1137" s="61"/>
      <c r="AC1137" s="61"/>
    </row>
    <row r="1138" ht="15.75" customHeight="1">
      <c r="A1138" s="61"/>
      <c r="B1138" s="61"/>
      <c r="C1138" s="61"/>
      <c r="D1138" s="61"/>
      <c r="E1138" s="61"/>
      <c r="F1138" s="61"/>
      <c r="G1138" s="61"/>
      <c r="H1138" s="61"/>
      <c r="I1138" s="61"/>
      <c r="J1138" s="61"/>
      <c r="K1138" s="61"/>
      <c r="L1138" s="61"/>
      <c r="M1138" s="61"/>
      <c r="N1138" s="61"/>
      <c r="O1138" s="61"/>
      <c r="P1138" s="61"/>
      <c r="Q1138" s="61"/>
      <c r="R1138" s="61"/>
      <c r="S1138" s="61"/>
      <c r="T1138" s="61"/>
      <c r="U1138" s="61"/>
      <c r="V1138" s="61"/>
      <c r="W1138" s="61"/>
      <c r="X1138" s="61"/>
      <c r="Y1138" s="61"/>
      <c r="Z1138" s="61"/>
      <c r="AA1138" s="61"/>
      <c r="AB1138" s="61"/>
      <c r="AC1138" s="61"/>
    </row>
    <row r="1139" ht="15.75" customHeight="1">
      <c r="A1139" s="61"/>
      <c r="B1139" s="61"/>
      <c r="C1139" s="61"/>
      <c r="D1139" s="61"/>
      <c r="E1139" s="61"/>
      <c r="F1139" s="61"/>
      <c r="G1139" s="61"/>
      <c r="H1139" s="61"/>
      <c r="I1139" s="61"/>
      <c r="J1139" s="61"/>
      <c r="K1139" s="61"/>
      <c r="L1139" s="61"/>
      <c r="M1139" s="61"/>
      <c r="N1139" s="61"/>
      <c r="O1139" s="61"/>
      <c r="P1139" s="61"/>
      <c r="Q1139" s="61"/>
      <c r="R1139" s="61"/>
      <c r="S1139" s="61"/>
      <c r="T1139" s="61"/>
      <c r="U1139" s="61"/>
      <c r="V1139" s="61"/>
      <c r="W1139" s="61"/>
      <c r="X1139" s="61"/>
      <c r="Y1139" s="61"/>
      <c r="Z1139" s="61"/>
      <c r="AA1139" s="61"/>
      <c r="AB1139" s="61"/>
      <c r="AC1139" s="61"/>
    </row>
    <row r="1140" ht="15.75" customHeight="1">
      <c r="A1140" s="61"/>
      <c r="B1140" s="61"/>
      <c r="C1140" s="61"/>
      <c r="D1140" s="61"/>
      <c r="E1140" s="61"/>
      <c r="F1140" s="61"/>
      <c r="G1140" s="61"/>
      <c r="H1140" s="61"/>
      <c r="I1140" s="61"/>
      <c r="J1140" s="61"/>
      <c r="K1140" s="61"/>
      <c r="L1140" s="61"/>
      <c r="M1140" s="61"/>
      <c r="N1140" s="61"/>
      <c r="O1140" s="61"/>
      <c r="P1140" s="61"/>
      <c r="Q1140" s="61"/>
      <c r="R1140" s="61"/>
      <c r="S1140" s="61"/>
      <c r="T1140" s="61"/>
      <c r="U1140" s="61"/>
      <c r="V1140" s="61"/>
      <c r="W1140" s="61"/>
      <c r="X1140" s="61"/>
      <c r="Y1140" s="61"/>
      <c r="Z1140" s="61"/>
      <c r="AA1140" s="61"/>
      <c r="AB1140" s="61"/>
      <c r="AC1140" s="61"/>
    </row>
    <row r="1141" ht="15.75" customHeight="1">
      <c r="A1141" s="61"/>
      <c r="B1141" s="61"/>
      <c r="C1141" s="61"/>
      <c r="D1141" s="61"/>
      <c r="E1141" s="61"/>
      <c r="F1141" s="61"/>
      <c r="G1141" s="61"/>
      <c r="H1141" s="61"/>
      <c r="I1141" s="61"/>
      <c r="J1141" s="61"/>
      <c r="K1141" s="61"/>
      <c r="L1141" s="61"/>
      <c r="M1141" s="61"/>
      <c r="N1141" s="61"/>
      <c r="O1141" s="61"/>
      <c r="P1141" s="61"/>
      <c r="Q1141" s="61"/>
      <c r="R1141" s="61"/>
      <c r="S1141" s="61"/>
      <c r="T1141" s="61"/>
      <c r="U1141" s="61"/>
      <c r="V1141" s="61"/>
      <c r="W1141" s="61"/>
      <c r="X1141" s="61"/>
      <c r="Y1141" s="61"/>
      <c r="Z1141" s="61"/>
      <c r="AA1141" s="61"/>
      <c r="AB1141" s="61"/>
      <c r="AC1141" s="61"/>
    </row>
    <row r="1142" ht="15.75" customHeight="1">
      <c r="A1142" s="61"/>
      <c r="B1142" s="61"/>
      <c r="C1142" s="61"/>
      <c r="D1142" s="61"/>
      <c r="E1142" s="61"/>
      <c r="F1142" s="61"/>
      <c r="G1142" s="61"/>
      <c r="H1142" s="61"/>
      <c r="I1142" s="61"/>
      <c r="J1142" s="61"/>
      <c r="K1142" s="61"/>
      <c r="L1142" s="61"/>
      <c r="M1142" s="61"/>
      <c r="N1142" s="61"/>
      <c r="O1142" s="61"/>
      <c r="P1142" s="61"/>
      <c r="Q1142" s="61"/>
      <c r="R1142" s="61"/>
      <c r="S1142" s="61"/>
      <c r="T1142" s="61"/>
      <c r="U1142" s="61"/>
      <c r="V1142" s="61"/>
      <c r="W1142" s="61"/>
      <c r="X1142" s="61"/>
      <c r="Y1142" s="61"/>
      <c r="Z1142" s="61"/>
      <c r="AA1142" s="61"/>
      <c r="AB1142" s="61"/>
      <c r="AC1142" s="61"/>
    </row>
    <row r="1143" ht="15.75" customHeight="1">
      <c r="A1143" s="61"/>
      <c r="B1143" s="61"/>
      <c r="C1143" s="61"/>
      <c r="D1143" s="61"/>
      <c r="E1143" s="61"/>
      <c r="F1143" s="61"/>
      <c r="G1143" s="61"/>
      <c r="H1143" s="61"/>
      <c r="I1143" s="61"/>
      <c r="J1143" s="61"/>
      <c r="K1143" s="61"/>
      <c r="L1143" s="61"/>
      <c r="M1143" s="61"/>
      <c r="N1143" s="61"/>
      <c r="O1143" s="61"/>
      <c r="P1143" s="61"/>
      <c r="Q1143" s="61"/>
      <c r="R1143" s="61"/>
      <c r="S1143" s="61"/>
      <c r="T1143" s="61"/>
      <c r="U1143" s="61"/>
      <c r="V1143" s="61"/>
      <c r="W1143" s="61"/>
      <c r="X1143" s="61"/>
      <c r="Y1143" s="61"/>
      <c r="Z1143" s="61"/>
      <c r="AA1143" s="61"/>
      <c r="AB1143" s="61"/>
      <c r="AC1143" s="61"/>
    </row>
    <row r="1144" ht="15.75" customHeight="1">
      <c r="A1144" s="61"/>
      <c r="B1144" s="61"/>
      <c r="C1144" s="61"/>
      <c r="D1144" s="61"/>
      <c r="E1144" s="61"/>
      <c r="F1144" s="61"/>
      <c r="G1144" s="61"/>
      <c r="H1144" s="61"/>
      <c r="I1144" s="61"/>
      <c r="J1144" s="61"/>
      <c r="K1144" s="61"/>
      <c r="L1144" s="61"/>
      <c r="M1144" s="61"/>
      <c r="N1144" s="61"/>
      <c r="O1144" s="61"/>
      <c r="P1144" s="61"/>
      <c r="Q1144" s="61"/>
      <c r="R1144" s="61"/>
      <c r="S1144" s="61"/>
      <c r="T1144" s="61"/>
      <c r="U1144" s="61"/>
      <c r="V1144" s="61"/>
      <c r="W1144" s="61"/>
      <c r="X1144" s="61"/>
      <c r="Y1144" s="61"/>
      <c r="Z1144" s="61"/>
      <c r="AA1144" s="61"/>
      <c r="AB1144" s="61"/>
      <c r="AC1144" s="61"/>
    </row>
    <row r="1145" ht="15.75" customHeight="1">
      <c r="A1145" s="61"/>
      <c r="B1145" s="61"/>
      <c r="C1145" s="61"/>
      <c r="D1145" s="61"/>
      <c r="E1145" s="61"/>
      <c r="F1145" s="61"/>
      <c r="G1145" s="61"/>
      <c r="H1145" s="61"/>
      <c r="I1145" s="61"/>
      <c r="J1145" s="61"/>
      <c r="K1145" s="61"/>
      <c r="L1145" s="61"/>
      <c r="M1145" s="61"/>
      <c r="N1145" s="61"/>
      <c r="O1145" s="61"/>
      <c r="P1145" s="61"/>
      <c r="Q1145" s="61"/>
      <c r="R1145" s="61"/>
      <c r="S1145" s="61"/>
      <c r="T1145" s="61"/>
      <c r="U1145" s="61"/>
      <c r="V1145" s="61"/>
      <c r="W1145" s="61"/>
      <c r="X1145" s="61"/>
      <c r="Y1145" s="61"/>
      <c r="Z1145" s="61"/>
      <c r="AA1145" s="61"/>
      <c r="AB1145" s="61"/>
      <c r="AC1145" s="61"/>
    </row>
    <row r="1146" ht="15.75" customHeight="1">
      <c r="A1146" s="61"/>
      <c r="B1146" s="61"/>
      <c r="C1146" s="61"/>
      <c r="D1146" s="61"/>
      <c r="E1146" s="61"/>
      <c r="F1146" s="61"/>
      <c r="G1146" s="61"/>
      <c r="H1146" s="61"/>
      <c r="I1146" s="61"/>
      <c r="J1146" s="61"/>
      <c r="K1146" s="61"/>
      <c r="L1146" s="61"/>
      <c r="M1146" s="61"/>
      <c r="N1146" s="61"/>
      <c r="O1146" s="61"/>
      <c r="P1146" s="61"/>
      <c r="Q1146" s="61"/>
      <c r="R1146" s="61"/>
      <c r="S1146" s="61"/>
      <c r="T1146" s="61"/>
      <c r="U1146" s="61"/>
      <c r="V1146" s="61"/>
      <c r="W1146" s="61"/>
      <c r="X1146" s="61"/>
      <c r="Y1146" s="61"/>
      <c r="Z1146" s="61"/>
      <c r="AA1146" s="61"/>
      <c r="AB1146" s="61"/>
      <c r="AC1146" s="61"/>
    </row>
    <row r="1147" ht="15.75" customHeight="1">
      <c r="A1147" s="61"/>
      <c r="B1147" s="61"/>
      <c r="C1147" s="61"/>
      <c r="D1147" s="61"/>
      <c r="E1147" s="61"/>
      <c r="F1147" s="61"/>
      <c r="G1147" s="61"/>
      <c r="H1147" s="61"/>
      <c r="I1147" s="61"/>
      <c r="J1147" s="61"/>
      <c r="K1147" s="61"/>
      <c r="L1147" s="61"/>
      <c r="M1147" s="61"/>
      <c r="N1147" s="61"/>
      <c r="O1147" s="61"/>
      <c r="P1147" s="61"/>
      <c r="Q1147" s="61"/>
      <c r="R1147" s="61"/>
      <c r="S1147" s="61"/>
      <c r="T1147" s="61"/>
      <c r="U1147" s="61"/>
      <c r="V1147" s="61"/>
      <c r="W1147" s="61"/>
      <c r="X1147" s="61"/>
      <c r="Y1147" s="61"/>
      <c r="Z1147" s="61"/>
      <c r="AA1147" s="61"/>
      <c r="AB1147" s="61"/>
      <c r="AC1147" s="61"/>
    </row>
    <row r="1148" ht="15.75" customHeight="1">
      <c r="A1148" s="61"/>
      <c r="B1148" s="61"/>
      <c r="C1148" s="61"/>
      <c r="D1148" s="61"/>
      <c r="E1148" s="61"/>
      <c r="F1148" s="61"/>
      <c r="G1148" s="61"/>
      <c r="H1148" s="61"/>
      <c r="I1148" s="61"/>
      <c r="J1148" s="61"/>
      <c r="K1148" s="61"/>
      <c r="L1148" s="61"/>
      <c r="M1148" s="61"/>
      <c r="N1148" s="61"/>
      <c r="O1148" s="61"/>
      <c r="P1148" s="61"/>
      <c r="Q1148" s="61"/>
      <c r="R1148" s="61"/>
      <c r="S1148" s="61"/>
      <c r="T1148" s="61"/>
      <c r="U1148" s="61"/>
      <c r="V1148" s="61"/>
      <c r="W1148" s="61"/>
      <c r="X1148" s="61"/>
      <c r="Y1148" s="61"/>
      <c r="Z1148" s="61"/>
      <c r="AA1148" s="61"/>
      <c r="AB1148" s="61"/>
      <c r="AC1148" s="61"/>
    </row>
    <row r="1149" ht="15.75" customHeight="1">
      <c r="A1149" s="61"/>
      <c r="B1149" s="61"/>
      <c r="C1149" s="61"/>
      <c r="D1149" s="61"/>
      <c r="E1149" s="61"/>
      <c r="F1149" s="61"/>
      <c r="G1149" s="61"/>
      <c r="H1149" s="61"/>
      <c r="I1149" s="61"/>
      <c r="J1149" s="61"/>
      <c r="K1149" s="61"/>
      <c r="L1149" s="61"/>
      <c r="M1149" s="61"/>
      <c r="N1149" s="61"/>
      <c r="O1149" s="61"/>
      <c r="P1149" s="61"/>
      <c r="Q1149" s="61"/>
      <c r="R1149" s="61"/>
      <c r="S1149" s="61"/>
      <c r="T1149" s="61"/>
      <c r="U1149" s="61"/>
      <c r="V1149" s="61"/>
      <c r="W1149" s="61"/>
      <c r="X1149" s="61"/>
      <c r="Y1149" s="61"/>
      <c r="Z1149" s="61"/>
      <c r="AA1149" s="61"/>
      <c r="AB1149" s="61"/>
      <c r="AC1149" s="61"/>
    </row>
    <row r="1150" ht="15.75" customHeight="1">
      <c r="A1150" s="61"/>
      <c r="B1150" s="61"/>
      <c r="C1150" s="61"/>
      <c r="D1150" s="61"/>
      <c r="E1150" s="61"/>
      <c r="F1150" s="61"/>
      <c r="G1150" s="61"/>
      <c r="H1150" s="61"/>
      <c r="I1150" s="61"/>
      <c r="J1150" s="61"/>
      <c r="K1150" s="61"/>
      <c r="L1150" s="61"/>
      <c r="M1150" s="61"/>
      <c r="N1150" s="61"/>
      <c r="O1150" s="61"/>
      <c r="P1150" s="61"/>
      <c r="Q1150" s="61"/>
      <c r="R1150" s="61"/>
      <c r="S1150" s="61"/>
      <c r="T1150" s="61"/>
      <c r="U1150" s="61"/>
      <c r="V1150" s="61"/>
      <c r="W1150" s="61"/>
      <c r="X1150" s="61"/>
      <c r="Y1150" s="61"/>
      <c r="Z1150" s="61"/>
      <c r="AA1150" s="61"/>
      <c r="AB1150" s="61"/>
      <c r="AC1150" s="61"/>
    </row>
    <row r="1151" ht="15.75" customHeight="1">
      <c r="A1151" s="61"/>
      <c r="B1151" s="61"/>
      <c r="C1151" s="61"/>
      <c r="D1151" s="61"/>
      <c r="E1151" s="61"/>
      <c r="F1151" s="61"/>
      <c r="G1151" s="61"/>
      <c r="H1151" s="61"/>
      <c r="I1151" s="61"/>
      <c r="J1151" s="61"/>
      <c r="K1151" s="61"/>
      <c r="L1151" s="61"/>
      <c r="M1151" s="61"/>
      <c r="N1151" s="61"/>
      <c r="O1151" s="61"/>
      <c r="P1151" s="61"/>
      <c r="Q1151" s="61"/>
      <c r="R1151" s="61"/>
      <c r="S1151" s="61"/>
      <c r="T1151" s="61"/>
      <c r="U1151" s="61"/>
      <c r="V1151" s="61"/>
      <c r="W1151" s="61"/>
      <c r="X1151" s="61"/>
      <c r="Y1151" s="61"/>
      <c r="Z1151" s="61"/>
      <c r="AA1151" s="61"/>
      <c r="AB1151" s="61"/>
      <c r="AC1151" s="61"/>
    </row>
    <row r="1152" ht="15.75" customHeight="1">
      <c r="A1152" s="61"/>
      <c r="B1152" s="61"/>
      <c r="C1152" s="61"/>
      <c r="D1152" s="61"/>
      <c r="E1152" s="61"/>
      <c r="F1152" s="61"/>
      <c r="G1152" s="61"/>
      <c r="H1152" s="61"/>
      <c r="I1152" s="61"/>
      <c r="J1152" s="61"/>
      <c r="K1152" s="61"/>
      <c r="L1152" s="61"/>
      <c r="M1152" s="61"/>
      <c r="N1152" s="61"/>
      <c r="O1152" s="61"/>
      <c r="P1152" s="61"/>
      <c r="Q1152" s="61"/>
      <c r="R1152" s="61"/>
      <c r="S1152" s="61"/>
      <c r="T1152" s="61"/>
      <c r="U1152" s="61"/>
      <c r="V1152" s="61"/>
      <c r="W1152" s="61"/>
      <c r="X1152" s="61"/>
      <c r="Y1152" s="61"/>
      <c r="Z1152" s="61"/>
      <c r="AA1152" s="61"/>
      <c r="AB1152" s="61"/>
      <c r="AC1152" s="61"/>
    </row>
    <row r="1153" ht="15.75" customHeight="1">
      <c r="A1153" s="61"/>
      <c r="B1153" s="61"/>
      <c r="C1153" s="61"/>
      <c r="D1153" s="61"/>
      <c r="E1153" s="61"/>
      <c r="F1153" s="61"/>
      <c r="G1153" s="61"/>
      <c r="H1153" s="61"/>
      <c r="I1153" s="61"/>
      <c r="J1153" s="61"/>
      <c r="K1153" s="61"/>
      <c r="L1153" s="61"/>
      <c r="M1153" s="61"/>
      <c r="N1153" s="61"/>
      <c r="O1153" s="61"/>
      <c r="P1153" s="61"/>
      <c r="Q1153" s="61"/>
      <c r="R1153" s="61"/>
      <c r="S1153" s="61"/>
      <c r="T1153" s="61"/>
      <c r="U1153" s="61"/>
      <c r="V1153" s="61"/>
      <c r="W1153" s="61"/>
      <c r="X1153" s="61"/>
      <c r="Y1153" s="61"/>
      <c r="Z1153" s="61"/>
      <c r="AA1153" s="61"/>
      <c r="AB1153" s="61"/>
      <c r="AC1153" s="61"/>
    </row>
    <row r="1154" ht="15.75" customHeight="1">
      <c r="A1154" s="61"/>
      <c r="B1154" s="61"/>
      <c r="C1154" s="61"/>
      <c r="D1154" s="61"/>
      <c r="E1154" s="61"/>
      <c r="F1154" s="61"/>
      <c r="G1154" s="61"/>
      <c r="H1154" s="61"/>
      <c r="I1154" s="61"/>
      <c r="J1154" s="61"/>
      <c r="K1154" s="61"/>
      <c r="L1154" s="61"/>
      <c r="M1154" s="61"/>
      <c r="N1154" s="61"/>
      <c r="O1154" s="61"/>
      <c r="P1154" s="61"/>
      <c r="Q1154" s="61"/>
      <c r="R1154" s="61"/>
      <c r="S1154" s="61"/>
      <c r="T1154" s="61"/>
      <c r="U1154" s="61"/>
      <c r="V1154" s="61"/>
      <c r="W1154" s="61"/>
      <c r="X1154" s="61"/>
      <c r="Y1154" s="61"/>
      <c r="Z1154" s="61"/>
      <c r="AA1154" s="61"/>
      <c r="AB1154" s="61"/>
      <c r="AC1154" s="61"/>
    </row>
    <row r="1155" ht="15.75" customHeight="1">
      <c r="A1155" s="61"/>
      <c r="B1155" s="61"/>
      <c r="C1155" s="61"/>
      <c r="D1155" s="61"/>
      <c r="E1155" s="61"/>
      <c r="F1155" s="61"/>
      <c r="G1155" s="61"/>
      <c r="H1155" s="61"/>
      <c r="I1155" s="61"/>
      <c r="J1155" s="61"/>
      <c r="K1155" s="61"/>
      <c r="L1155" s="61"/>
      <c r="M1155" s="61"/>
      <c r="N1155" s="61"/>
      <c r="O1155" s="61"/>
      <c r="P1155" s="61"/>
      <c r="Q1155" s="61"/>
      <c r="R1155" s="61"/>
      <c r="S1155" s="61"/>
      <c r="T1155" s="61"/>
      <c r="U1155" s="61"/>
      <c r="V1155" s="61"/>
      <c r="W1155" s="61"/>
      <c r="X1155" s="61"/>
      <c r="Y1155" s="61"/>
      <c r="Z1155" s="61"/>
      <c r="AA1155" s="61"/>
      <c r="AB1155" s="61"/>
      <c r="AC1155" s="61"/>
    </row>
    <row r="1156" ht="15.75" customHeight="1">
      <c r="A1156" s="61"/>
      <c r="B1156" s="61"/>
      <c r="C1156" s="61"/>
      <c r="D1156" s="61"/>
      <c r="E1156" s="61"/>
      <c r="F1156" s="61"/>
      <c r="G1156" s="61"/>
      <c r="H1156" s="61"/>
      <c r="I1156" s="61"/>
      <c r="J1156" s="61"/>
      <c r="K1156" s="61"/>
      <c r="L1156" s="61"/>
      <c r="M1156" s="61"/>
      <c r="N1156" s="61"/>
      <c r="O1156" s="61"/>
      <c r="P1156" s="61"/>
      <c r="Q1156" s="61"/>
      <c r="R1156" s="61"/>
      <c r="S1156" s="61"/>
      <c r="T1156" s="61"/>
      <c r="U1156" s="61"/>
      <c r="V1156" s="61"/>
      <c r="W1156" s="61"/>
      <c r="X1156" s="61"/>
      <c r="Y1156" s="61"/>
      <c r="Z1156" s="61"/>
      <c r="AA1156" s="61"/>
      <c r="AB1156" s="61"/>
      <c r="AC1156" s="61"/>
    </row>
    <row r="1157" ht="15.75" customHeight="1">
      <c r="A1157" s="61"/>
      <c r="B1157" s="61"/>
      <c r="C1157" s="61"/>
      <c r="D1157" s="61"/>
      <c r="E1157" s="61"/>
      <c r="F1157" s="61"/>
      <c r="G1157" s="61"/>
      <c r="H1157" s="61"/>
      <c r="I1157" s="61"/>
      <c r="J1157" s="61"/>
      <c r="K1157" s="61"/>
      <c r="L1157" s="61"/>
      <c r="M1157" s="61"/>
      <c r="N1157" s="61"/>
      <c r="O1157" s="61"/>
      <c r="P1157" s="61"/>
      <c r="Q1157" s="61"/>
      <c r="R1157" s="61"/>
      <c r="S1157" s="61"/>
      <c r="T1157" s="61"/>
      <c r="U1157" s="61"/>
      <c r="V1157" s="61"/>
      <c r="W1157" s="61"/>
      <c r="X1157" s="61"/>
      <c r="Y1157" s="61"/>
      <c r="Z1157" s="61"/>
      <c r="AA1157" s="61"/>
      <c r="AB1157" s="61"/>
      <c r="AC1157" s="61"/>
    </row>
    <row r="1158" ht="15.75" customHeight="1">
      <c r="A1158" s="61"/>
      <c r="B1158" s="61"/>
      <c r="C1158" s="61"/>
      <c r="D1158" s="61"/>
      <c r="E1158" s="61"/>
      <c r="F1158" s="61"/>
      <c r="G1158" s="61"/>
      <c r="H1158" s="61"/>
      <c r="I1158" s="61"/>
      <c r="J1158" s="61"/>
      <c r="K1158" s="61"/>
      <c r="L1158" s="61"/>
      <c r="M1158" s="61"/>
      <c r="N1158" s="61"/>
      <c r="O1158" s="61"/>
      <c r="P1158" s="61"/>
      <c r="Q1158" s="61"/>
      <c r="R1158" s="61"/>
      <c r="S1158" s="61"/>
      <c r="T1158" s="61"/>
      <c r="U1158" s="61"/>
      <c r="V1158" s="61"/>
      <c r="W1158" s="61"/>
      <c r="X1158" s="61"/>
      <c r="Y1158" s="61"/>
      <c r="Z1158" s="61"/>
      <c r="AA1158" s="61"/>
      <c r="AB1158" s="61"/>
      <c r="AC1158" s="61"/>
    </row>
    <row r="1159" ht="15.75" customHeight="1">
      <c r="A1159" s="61"/>
      <c r="B1159" s="61"/>
      <c r="C1159" s="61"/>
      <c r="D1159" s="61"/>
      <c r="E1159" s="61"/>
      <c r="F1159" s="61"/>
      <c r="G1159" s="61"/>
      <c r="H1159" s="61"/>
      <c r="I1159" s="61"/>
      <c r="J1159" s="61"/>
      <c r="K1159" s="61"/>
      <c r="L1159" s="61"/>
      <c r="M1159" s="61"/>
      <c r="N1159" s="61"/>
      <c r="O1159" s="61"/>
      <c r="P1159" s="61"/>
      <c r="Q1159" s="61"/>
      <c r="R1159" s="61"/>
      <c r="S1159" s="61"/>
      <c r="T1159" s="61"/>
      <c r="U1159" s="61"/>
      <c r="V1159" s="61"/>
      <c r="W1159" s="61"/>
      <c r="X1159" s="61"/>
      <c r="Y1159" s="61"/>
      <c r="Z1159" s="61"/>
      <c r="AA1159" s="61"/>
      <c r="AB1159" s="61"/>
      <c r="AC1159" s="61"/>
    </row>
    <row r="1160" ht="15.75" customHeight="1">
      <c r="A1160" s="61"/>
      <c r="B1160" s="61"/>
      <c r="C1160" s="61"/>
      <c r="D1160" s="61"/>
      <c r="E1160" s="61"/>
      <c r="F1160" s="61"/>
      <c r="G1160" s="61"/>
      <c r="H1160" s="61"/>
      <c r="I1160" s="61"/>
      <c r="J1160" s="61"/>
      <c r="K1160" s="61"/>
      <c r="L1160" s="61"/>
      <c r="M1160" s="61"/>
      <c r="N1160" s="61"/>
      <c r="O1160" s="61"/>
      <c r="P1160" s="61"/>
      <c r="Q1160" s="61"/>
      <c r="R1160" s="61"/>
      <c r="S1160" s="61"/>
      <c r="T1160" s="61"/>
      <c r="U1160" s="61"/>
      <c r="V1160" s="61"/>
      <c r="W1160" s="61"/>
      <c r="X1160" s="61"/>
      <c r="Y1160" s="61"/>
      <c r="Z1160" s="61"/>
      <c r="AA1160" s="61"/>
      <c r="AB1160" s="61"/>
      <c r="AC1160" s="61"/>
    </row>
    <row r="1161" ht="15.75" customHeight="1">
      <c r="A1161" s="61"/>
      <c r="B1161" s="61"/>
      <c r="C1161" s="61"/>
      <c r="D1161" s="61"/>
      <c r="E1161" s="61"/>
      <c r="F1161" s="61"/>
      <c r="G1161" s="61"/>
      <c r="H1161" s="61"/>
      <c r="I1161" s="61"/>
      <c r="J1161" s="61"/>
      <c r="K1161" s="61"/>
      <c r="L1161" s="61"/>
      <c r="M1161" s="61"/>
      <c r="N1161" s="61"/>
      <c r="O1161" s="61"/>
      <c r="P1161" s="61"/>
      <c r="Q1161" s="61"/>
      <c r="R1161" s="61"/>
      <c r="S1161" s="61"/>
      <c r="T1161" s="61"/>
      <c r="U1161" s="61"/>
      <c r="V1161" s="61"/>
      <c r="W1161" s="61"/>
      <c r="X1161" s="61"/>
      <c r="Y1161" s="61"/>
      <c r="Z1161" s="61"/>
      <c r="AA1161" s="61"/>
      <c r="AB1161" s="61"/>
      <c r="AC1161" s="61"/>
    </row>
    <row r="1162" ht="15.75" customHeight="1">
      <c r="A1162" s="61"/>
      <c r="B1162" s="61"/>
      <c r="C1162" s="61"/>
      <c r="D1162" s="61"/>
      <c r="E1162" s="61"/>
      <c r="F1162" s="61"/>
      <c r="G1162" s="61"/>
      <c r="H1162" s="61"/>
      <c r="I1162" s="61"/>
      <c r="J1162" s="61"/>
      <c r="K1162" s="61"/>
      <c r="L1162" s="61"/>
      <c r="M1162" s="61"/>
      <c r="N1162" s="61"/>
      <c r="O1162" s="61"/>
      <c r="P1162" s="61"/>
      <c r="Q1162" s="61"/>
      <c r="R1162" s="61"/>
      <c r="S1162" s="61"/>
      <c r="T1162" s="61"/>
      <c r="U1162" s="61"/>
      <c r="V1162" s="61"/>
      <c r="W1162" s="61"/>
      <c r="X1162" s="61"/>
      <c r="Y1162" s="61"/>
      <c r="Z1162" s="61"/>
      <c r="AA1162" s="61"/>
      <c r="AB1162" s="61"/>
      <c r="AC1162" s="61"/>
    </row>
    <row r="1163" ht="15.75" customHeight="1">
      <c r="A1163" s="61"/>
      <c r="B1163" s="61"/>
      <c r="C1163" s="61"/>
      <c r="D1163" s="61"/>
      <c r="E1163" s="61"/>
      <c r="F1163" s="61"/>
      <c r="G1163" s="61"/>
      <c r="H1163" s="61"/>
      <c r="I1163" s="61"/>
      <c r="J1163" s="61"/>
      <c r="K1163" s="61"/>
      <c r="L1163" s="61"/>
      <c r="M1163" s="61"/>
      <c r="N1163" s="61"/>
      <c r="O1163" s="61"/>
      <c r="P1163" s="61"/>
      <c r="Q1163" s="61"/>
      <c r="R1163" s="61"/>
      <c r="S1163" s="61"/>
      <c r="T1163" s="61"/>
      <c r="U1163" s="61"/>
      <c r="V1163" s="61"/>
      <c r="W1163" s="61"/>
      <c r="X1163" s="61"/>
      <c r="Y1163" s="61"/>
      <c r="Z1163" s="61"/>
      <c r="AA1163" s="61"/>
      <c r="AB1163" s="61"/>
      <c r="AC1163" s="61"/>
    </row>
    <row r="1164" ht="15.75" customHeight="1">
      <c r="A1164" s="61"/>
      <c r="B1164" s="61"/>
      <c r="C1164" s="61"/>
      <c r="D1164" s="61"/>
      <c r="E1164" s="61"/>
      <c r="F1164" s="61"/>
      <c r="G1164" s="61"/>
      <c r="H1164" s="61"/>
      <c r="I1164" s="61"/>
      <c r="J1164" s="61"/>
      <c r="K1164" s="61"/>
      <c r="L1164" s="61"/>
      <c r="M1164" s="61"/>
      <c r="N1164" s="61"/>
      <c r="O1164" s="61"/>
      <c r="P1164" s="61"/>
      <c r="Q1164" s="61"/>
      <c r="R1164" s="61"/>
      <c r="S1164" s="61"/>
      <c r="T1164" s="61"/>
      <c r="U1164" s="61"/>
      <c r="V1164" s="61"/>
      <c r="W1164" s="61"/>
      <c r="X1164" s="61"/>
      <c r="Y1164" s="61"/>
      <c r="Z1164" s="61"/>
      <c r="AA1164" s="61"/>
      <c r="AB1164" s="61"/>
      <c r="AC1164" s="61"/>
    </row>
    <row r="1165" ht="15.75" customHeight="1">
      <c r="A1165" s="61"/>
      <c r="B1165" s="61"/>
      <c r="C1165" s="61"/>
      <c r="D1165" s="61"/>
      <c r="E1165" s="61"/>
      <c r="F1165" s="61"/>
      <c r="G1165" s="61"/>
      <c r="H1165" s="61"/>
      <c r="I1165" s="61"/>
      <c r="J1165" s="61"/>
      <c r="K1165" s="61"/>
      <c r="L1165" s="61"/>
      <c r="M1165" s="61"/>
      <c r="N1165" s="61"/>
      <c r="O1165" s="61"/>
      <c r="P1165" s="61"/>
      <c r="Q1165" s="61"/>
      <c r="R1165" s="61"/>
      <c r="S1165" s="61"/>
      <c r="T1165" s="61"/>
      <c r="U1165" s="61"/>
      <c r="V1165" s="61"/>
      <c r="W1165" s="61"/>
      <c r="X1165" s="61"/>
      <c r="Y1165" s="61"/>
      <c r="Z1165" s="61"/>
      <c r="AA1165" s="61"/>
      <c r="AB1165" s="61"/>
      <c r="AC1165" s="61"/>
    </row>
    <row r="1166" ht="15.75" customHeight="1">
      <c r="A1166" s="61"/>
      <c r="B1166" s="61"/>
      <c r="C1166" s="61"/>
      <c r="D1166" s="61"/>
      <c r="E1166" s="61"/>
      <c r="F1166" s="61"/>
      <c r="G1166" s="61"/>
      <c r="H1166" s="61"/>
      <c r="I1166" s="61"/>
      <c r="J1166" s="61"/>
      <c r="K1166" s="61"/>
      <c r="L1166" s="61"/>
      <c r="M1166" s="61"/>
      <c r="N1166" s="61"/>
      <c r="O1166" s="61"/>
      <c r="P1166" s="61"/>
      <c r="Q1166" s="61"/>
      <c r="R1166" s="61"/>
      <c r="S1166" s="61"/>
      <c r="T1166" s="61"/>
      <c r="U1166" s="61"/>
      <c r="V1166" s="61"/>
      <c r="W1166" s="61"/>
      <c r="X1166" s="61"/>
      <c r="Y1166" s="61"/>
      <c r="Z1166" s="61"/>
      <c r="AA1166" s="61"/>
      <c r="AB1166" s="61"/>
      <c r="AC1166" s="61"/>
    </row>
    <row r="1167" ht="15.75" customHeight="1">
      <c r="A1167" s="61"/>
      <c r="B1167" s="61"/>
      <c r="C1167" s="61"/>
      <c r="D1167" s="61"/>
      <c r="E1167" s="61"/>
      <c r="F1167" s="61"/>
      <c r="G1167" s="61"/>
      <c r="H1167" s="61"/>
      <c r="I1167" s="61"/>
      <c r="J1167" s="61"/>
      <c r="K1167" s="61"/>
      <c r="L1167" s="61"/>
      <c r="M1167" s="61"/>
      <c r="N1167" s="61"/>
      <c r="O1167" s="61"/>
      <c r="P1167" s="61"/>
      <c r="Q1167" s="61"/>
      <c r="R1167" s="61"/>
      <c r="S1167" s="61"/>
      <c r="T1167" s="61"/>
      <c r="U1167" s="61"/>
      <c r="V1167" s="61"/>
      <c r="W1167" s="61"/>
      <c r="X1167" s="61"/>
      <c r="Y1167" s="61"/>
      <c r="Z1167" s="61"/>
      <c r="AA1167" s="61"/>
      <c r="AB1167" s="61"/>
      <c r="AC1167" s="61"/>
    </row>
    <row r="1168" ht="15.75" customHeight="1">
      <c r="A1168" s="61"/>
      <c r="B1168" s="61"/>
      <c r="C1168" s="61"/>
      <c r="D1168" s="61"/>
      <c r="E1168" s="61"/>
      <c r="F1168" s="61"/>
      <c r="G1168" s="61"/>
      <c r="H1168" s="61"/>
      <c r="I1168" s="61"/>
      <c r="J1168" s="61"/>
      <c r="K1168" s="61"/>
      <c r="L1168" s="61"/>
      <c r="M1168" s="61"/>
      <c r="N1168" s="61"/>
      <c r="O1168" s="61"/>
      <c r="P1168" s="61"/>
      <c r="Q1168" s="61"/>
      <c r="R1168" s="61"/>
      <c r="S1168" s="61"/>
      <c r="T1168" s="61"/>
      <c r="U1168" s="61"/>
      <c r="V1168" s="61"/>
      <c r="W1168" s="61"/>
      <c r="X1168" s="61"/>
      <c r="Y1168" s="61"/>
      <c r="Z1168" s="61"/>
      <c r="AA1168" s="61"/>
      <c r="AB1168" s="61"/>
      <c r="AC1168" s="61"/>
    </row>
    <row r="1169" ht="15.75" customHeight="1">
      <c r="A1169" s="61"/>
      <c r="B1169" s="61"/>
      <c r="C1169" s="61"/>
      <c r="D1169" s="61"/>
      <c r="E1169" s="61"/>
      <c r="F1169" s="61"/>
      <c r="G1169" s="61"/>
      <c r="H1169" s="61"/>
      <c r="I1169" s="61"/>
      <c r="J1169" s="61"/>
      <c r="K1169" s="61"/>
      <c r="L1169" s="61"/>
      <c r="M1169" s="61"/>
      <c r="N1169" s="61"/>
      <c r="O1169" s="61"/>
      <c r="P1169" s="61"/>
      <c r="Q1169" s="61"/>
      <c r="R1169" s="61"/>
      <c r="S1169" s="61"/>
      <c r="T1169" s="61"/>
      <c r="U1169" s="61"/>
      <c r="V1169" s="61"/>
      <c r="W1169" s="61"/>
      <c r="X1169" s="61"/>
      <c r="Y1169" s="61"/>
      <c r="Z1169" s="61"/>
      <c r="AA1169" s="61"/>
      <c r="AB1169" s="61"/>
      <c r="AC1169" s="61"/>
    </row>
    <row r="1170" ht="15.75" customHeight="1">
      <c r="A1170" s="61"/>
      <c r="B1170" s="61"/>
      <c r="C1170" s="61"/>
      <c r="D1170" s="61"/>
      <c r="E1170" s="61"/>
      <c r="F1170" s="61"/>
      <c r="G1170" s="61"/>
      <c r="H1170" s="61"/>
      <c r="I1170" s="61"/>
      <c r="J1170" s="61"/>
      <c r="K1170" s="61"/>
      <c r="L1170" s="61"/>
      <c r="M1170" s="61"/>
      <c r="N1170" s="61"/>
      <c r="O1170" s="61"/>
      <c r="P1170" s="61"/>
      <c r="Q1170" s="61"/>
      <c r="R1170" s="61"/>
      <c r="S1170" s="61"/>
      <c r="T1170" s="61"/>
      <c r="U1170" s="61"/>
      <c r="V1170" s="61"/>
      <c r="W1170" s="61"/>
      <c r="X1170" s="61"/>
      <c r="Y1170" s="61"/>
      <c r="Z1170" s="61"/>
      <c r="AA1170" s="61"/>
      <c r="AB1170" s="61"/>
      <c r="AC1170" s="61"/>
    </row>
    <row r="1171" ht="15.75" customHeight="1">
      <c r="A1171" s="61"/>
      <c r="B1171" s="61"/>
      <c r="C1171" s="61"/>
      <c r="D1171" s="61"/>
      <c r="E1171" s="61"/>
      <c r="F1171" s="61"/>
      <c r="G1171" s="61"/>
      <c r="H1171" s="61"/>
      <c r="I1171" s="61"/>
      <c r="J1171" s="61"/>
      <c r="K1171" s="61"/>
      <c r="L1171" s="61"/>
      <c r="M1171" s="61"/>
      <c r="N1171" s="61"/>
      <c r="O1171" s="61"/>
      <c r="P1171" s="61"/>
      <c r="Q1171" s="61"/>
      <c r="R1171" s="61"/>
      <c r="S1171" s="61"/>
      <c r="T1171" s="61"/>
      <c r="U1171" s="61"/>
      <c r="V1171" s="61"/>
      <c r="W1171" s="61"/>
      <c r="X1171" s="61"/>
      <c r="Y1171" s="61"/>
      <c r="Z1171" s="61"/>
      <c r="AA1171" s="61"/>
      <c r="AB1171" s="61"/>
      <c r="AC1171" s="61"/>
    </row>
    <row r="1172" ht="15.75" customHeight="1">
      <c r="A1172" s="61"/>
      <c r="B1172" s="61"/>
      <c r="C1172" s="61"/>
      <c r="D1172" s="61"/>
      <c r="E1172" s="61"/>
      <c r="F1172" s="61"/>
      <c r="G1172" s="61"/>
      <c r="H1172" s="61"/>
      <c r="I1172" s="61"/>
      <c r="J1172" s="61"/>
      <c r="K1172" s="61"/>
      <c r="L1172" s="61"/>
      <c r="M1172" s="61"/>
      <c r="N1172" s="61"/>
      <c r="O1172" s="61"/>
      <c r="P1172" s="61"/>
      <c r="Q1172" s="61"/>
      <c r="R1172" s="61"/>
      <c r="S1172" s="61"/>
      <c r="T1172" s="61"/>
      <c r="U1172" s="61"/>
      <c r="V1172" s="61"/>
      <c r="W1172" s="61"/>
      <c r="X1172" s="61"/>
      <c r="Y1172" s="61"/>
      <c r="Z1172" s="61"/>
      <c r="AA1172" s="61"/>
      <c r="AB1172" s="61"/>
      <c r="AC1172" s="61"/>
    </row>
    <row r="1173" ht="15.75" customHeight="1">
      <c r="A1173" s="61"/>
      <c r="B1173" s="61"/>
      <c r="C1173" s="61"/>
      <c r="D1173" s="61"/>
      <c r="E1173" s="61"/>
      <c r="F1173" s="61"/>
      <c r="G1173" s="61"/>
      <c r="H1173" s="61"/>
      <c r="I1173" s="61"/>
      <c r="J1173" s="61"/>
      <c r="K1173" s="61"/>
      <c r="L1173" s="61"/>
      <c r="M1173" s="61"/>
      <c r="N1173" s="61"/>
      <c r="O1173" s="61"/>
      <c r="P1173" s="61"/>
      <c r="Q1173" s="61"/>
      <c r="R1173" s="61"/>
      <c r="S1173" s="61"/>
      <c r="T1173" s="61"/>
      <c r="U1173" s="61"/>
      <c r="V1173" s="61"/>
      <c r="W1173" s="61"/>
      <c r="X1173" s="61"/>
      <c r="Y1173" s="61"/>
      <c r="Z1173" s="61"/>
      <c r="AA1173" s="61"/>
      <c r="AB1173" s="61"/>
      <c r="AC1173" s="61"/>
    </row>
    <row r="1174" ht="15.75" customHeight="1">
      <c r="A1174" s="61"/>
      <c r="B1174" s="61"/>
      <c r="C1174" s="61"/>
      <c r="D1174" s="61"/>
      <c r="E1174" s="61"/>
      <c r="F1174" s="61"/>
      <c r="G1174" s="61"/>
      <c r="H1174" s="61"/>
      <c r="I1174" s="61"/>
      <c r="J1174" s="61"/>
      <c r="K1174" s="61"/>
      <c r="L1174" s="61"/>
      <c r="M1174" s="61"/>
      <c r="N1174" s="61"/>
      <c r="O1174" s="61"/>
      <c r="P1174" s="61"/>
      <c r="Q1174" s="61"/>
      <c r="R1174" s="61"/>
      <c r="S1174" s="61"/>
      <c r="T1174" s="61"/>
      <c r="U1174" s="61"/>
      <c r="V1174" s="61"/>
      <c r="W1174" s="61"/>
      <c r="X1174" s="61"/>
      <c r="Y1174" s="61"/>
      <c r="Z1174" s="61"/>
      <c r="AA1174" s="61"/>
      <c r="AB1174" s="61"/>
      <c r="AC1174" s="61"/>
    </row>
    <row r="1175" ht="15.75" customHeight="1">
      <c r="A1175" s="61"/>
      <c r="B1175" s="61"/>
      <c r="C1175" s="61"/>
      <c r="D1175" s="61"/>
      <c r="E1175" s="61"/>
      <c r="F1175" s="61"/>
      <c r="G1175" s="61"/>
      <c r="H1175" s="61"/>
      <c r="I1175" s="61"/>
      <c r="J1175" s="61"/>
      <c r="K1175" s="61"/>
      <c r="L1175" s="61"/>
      <c r="M1175" s="61"/>
      <c r="N1175" s="61"/>
      <c r="O1175" s="61"/>
      <c r="P1175" s="61"/>
      <c r="Q1175" s="61"/>
      <c r="R1175" s="61"/>
      <c r="S1175" s="61"/>
      <c r="T1175" s="61"/>
      <c r="U1175" s="61"/>
      <c r="V1175" s="61"/>
      <c r="W1175" s="61"/>
      <c r="X1175" s="61"/>
      <c r="Y1175" s="61"/>
      <c r="Z1175" s="61"/>
      <c r="AA1175" s="61"/>
      <c r="AB1175" s="61"/>
      <c r="AC1175" s="61"/>
    </row>
    <row r="1176" ht="15.75" customHeight="1">
      <c r="A1176" s="61"/>
      <c r="B1176" s="61"/>
      <c r="C1176" s="61"/>
      <c r="D1176" s="61"/>
      <c r="E1176" s="61"/>
      <c r="F1176" s="61"/>
      <c r="G1176" s="61"/>
      <c r="H1176" s="61"/>
      <c r="I1176" s="61"/>
      <c r="J1176" s="61"/>
      <c r="K1176" s="61"/>
      <c r="L1176" s="61"/>
      <c r="M1176" s="61"/>
      <c r="N1176" s="61"/>
      <c r="O1176" s="61"/>
      <c r="P1176" s="61"/>
      <c r="Q1176" s="61"/>
      <c r="R1176" s="61"/>
      <c r="S1176" s="61"/>
      <c r="T1176" s="61"/>
      <c r="U1176" s="61"/>
      <c r="V1176" s="61"/>
      <c r="W1176" s="61"/>
      <c r="X1176" s="61"/>
      <c r="Y1176" s="61"/>
      <c r="Z1176" s="61"/>
      <c r="AA1176" s="61"/>
      <c r="AB1176" s="61"/>
      <c r="AC1176" s="61"/>
    </row>
    <row r="1177" ht="15.75" customHeight="1">
      <c r="A1177" s="61"/>
      <c r="B1177" s="61"/>
      <c r="C1177" s="61"/>
      <c r="D1177" s="61"/>
      <c r="E1177" s="61"/>
      <c r="F1177" s="61"/>
      <c r="G1177" s="61"/>
      <c r="H1177" s="61"/>
      <c r="I1177" s="61"/>
      <c r="J1177" s="61"/>
      <c r="K1177" s="61"/>
      <c r="L1177" s="61"/>
      <c r="M1177" s="61"/>
      <c r="N1177" s="61"/>
      <c r="O1177" s="61"/>
      <c r="P1177" s="61"/>
      <c r="Q1177" s="61"/>
      <c r="R1177" s="61"/>
      <c r="S1177" s="61"/>
      <c r="T1177" s="61"/>
      <c r="U1177" s="61"/>
      <c r="V1177" s="61"/>
      <c r="W1177" s="61"/>
      <c r="X1177" s="61"/>
      <c r="Y1177" s="61"/>
      <c r="Z1177" s="61"/>
      <c r="AA1177" s="61"/>
      <c r="AB1177" s="61"/>
      <c r="AC1177" s="61"/>
    </row>
    <row r="1178" ht="15.75" customHeight="1">
      <c r="A1178" s="61"/>
      <c r="B1178" s="61"/>
      <c r="C1178" s="61"/>
      <c r="D1178" s="61"/>
      <c r="E1178" s="61"/>
      <c r="F1178" s="61"/>
      <c r="G1178" s="61"/>
      <c r="H1178" s="61"/>
      <c r="I1178" s="61"/>
      <c r="J1178" s="61"/>
      <c r="K1178" s="61"/>
      <c r="L1178" s="61"/>
      <c r="M1178" s="61"/>
      <c r="N1178" s="61"/>
      <c r="O1178" s="61"/>
      <c r="P1178" s="61"/>
      <c r="Q1178" s="61"/>
      <c r="R1178" s="61"/>
      <c r="S1178" s="61"/>
      <c r="T1178" s="61"/>
      <c r="U1178" s="61"/>
      <c r="V1178" s="61"/>
      <c r="W1178" s="61"/>
      <c r="X1178" s="61"/>
      <c r="Y1178" s="61"/>
      <c r="Z1178" s="61"/>
      <c r="AA1178" s="61"/>
      <c r="AB1178" s="61"/>
      <c r="AC1178" s="61"/>
    </row>
    <row r="1179" ht="15.75" customHeight="1">
      <c r="A1179" s="61"/>
      <c r="B1179" s="61"/>
      <c r="C1179" s="61"/>
      <c r="D1179" s="61"/>
      <c r="E1179" s="61"/>
      <c r="F1179" s="61"/>
      <c r="G1179" s="61"/>
      <c r="H1179" s="61"/>
      <c r="I1179" s="61"/>
      <c r="J1179" s="61"/>
      <c r="K1179" s="61"/>
      <c r="L1179" s="61"/>
      <c r="M1179" s="61"/>
      <c r="N1179" s="61"/>
      <c r="O1179" s="61"/>
      <c r="P1179" s="61"/>
      <c r="Q1179" s="61"/>
      <c r="R1179" s="61"/>
      <c r="S1179" s="61"/>
      <c r="T1179" s="61"/>
      <c r="U1179" s="61"/>
      <c r="V1179" s="61"/>
      <c r="W1179" s="61"/>
      <c r="X1179" s="61"/>
      <c r="Y1179" s="61"/>
      <c r="Z1179" s="61"/>
      <c r="AA1179" s="61"/>
      <c r="AB1179" s="61"/>
      <c r="AC1179" s="61"/>
    </row>
    <row r="1180" ht="15.75" customHeight="1">
      <c r="A1180" s="61"/>
      <c r="B1180" s="61"/>
      <c r="C1180" s="61"/>
      <c r="D1180" s="61"/>
      <c r="E1180" s="61"/>
      <c r="F1180" s="61"/>
      <c r="G1180" s="61"/>
      <c r="H1180" s="61"/>
      <c r="I1180" s="61"/>
      <c r="J1180" s="61"/>
      <c r="K1180" s="61"/>
      <c r="L1180" s="61"/>
      <c r="M1180" s="61"/>
      <c r="N1180" s="61"/>
      <c r="O1180" s="61"/>
      <c r="P1180" s="61"/>
      <c r="Q1180" s="61"/>
      <c r="R1180" s="61"/>
      <c r="S1180" s="61"/>
      <c r="T1180" s="61"/>
      <c r="U1180" s="61"/>
      <c r="V1180" s="61"/>
      <c r="W1180" s="61"/>
      <c r="X1180" s="61"/>
      <c r="Y1180" s="61"/>
      <c r="Z1180" s="61"/>
      <c r="AA1180" s="61"/>
      <c r="AB1180" s="61"/>
      <c r="AC1180" s="61"/>
    </row>
    <row r="1181" ht="15.75" customHeight="1">
      <c r="A1181" s="61"/>
      <c r="B1181" s="61"/>
      <c r="C1181" s="61"/>
      <c r="D1181" s="61"/>
      <c r="E1181" s="61"/>
      <c r="F1181" s="61"/>
      <c r="G1181" s="61"/>
      <c r="H1181" s="61"/>
      <c r="I1181" s="61"/>
      <c r="J1181" s="61"/>
      <c r="K1181" s="61"/>
      <c r="L1181" s="61"/>
      <c r="M1181" s="61"/>
      <c r="N1181" s="61"/>
      <c r="O1181" s="61"/>
      <c r="P1181" s="61"/>
      <c r="Q1181" s="61"/>
      <c r="R1181" s="61"/>
      <c r="S1181" s="61"/>
      <c r="T1181" s="61"/>
      <c r="U1181" s="61"/>
      <c r="V1181" s="61"/>
      <c r="W1181" s="61"/>
      <c r="X1181" s="61"/>
      <c r="Y1181" s="61"/>
      <c r="Z1181" s="61"/>
      <c r="AA1181" s="61"/>
      <c r="AB1181" s="61"/>
      <c r="AC1181" s="61"/>
    </row>
    <row r="1182" ht="15.75" customHeight="1">
      <c r="A1182" s="61"/>
      <c r="B1182" s="61"/>
      <c r="C1182" s="61"/>
      <c r="D1182" s="61"/>
      <c r="E1182" s="61"/>
      <c r="F1182" s="61"/>
      <c r="G1182" s="61"/>
      <c r="H1182" s="61"/>
      <c r="I1182" s="61"/>
      <c r="J1182" s="61"/>
      <c r="K1182" s="61"/>
      <c r="L1182" s="61"/>
      <c r="M1182" s="61"/>
      <c r="N1182" s="61"/>
      <c r="O1182" s="61"/>
      <c r="P1182" s="61"/>
      <c r="Q1182" s="61"/>
      <c r="R1182" s="61"/>
      <c r="S1182" s="61"/>
      <c r="T1182" s="61"/>
      <c r="U1182" s="61"/>
      <c r="V1182" s="61"/>
      <c r="W1182" s="61"/>
      <c r="X1182" s="61"/>
      <c r="Y1182" s="61"/>
      <c r="Z1182" s="61"/>
      <c r="AA1182" s="61"/>
      <c r="AB1182" s="61"/>
      <c r="AC1182" s="61"/>
    </row>
    <row r="1183" ht="15.75" customHeight="1">
      <c r="A1183" s="61"/>
      <c r="B1183" s="61"/>
      <c r="C1183" s="61"/>
      <c r="D1183" s="61"/>
      <c r="E1183" s="61"/>
      <c r="F1183" s="61"/>
      <c r="G1183" s="61"/>
      <c r="H1183" s="61"/>
      <c r="I1183" s="61"/>
      <c r="J1183" s="61"/>
      <c r="K1183" s="61"/>
      <c r="L1183" s="61"/>
      <c r="M1183" s="61"/>
      <c r="N1183" s="61"/>
      <c r="O1183" s="61"/>
      <c r="P1183" s="61"/>
      <c r="Q1183" s="61"/>
      <c r="R1183" s="61"/>
      <c r="S1183" s="61"/>
      <c r="T1183" s="61"/>
      <c r="U1183" s="61"/>
      <c r="V1183" s="61"/>
      <c r="W1183" s="61"/>
      <c r="X1183" s="61"/>
      <c r="Y1183" s="61"/>
      <c r="Z1183" s="61"/>
      <c r="AA1183" s="61"/>
      <c r="AB1183" s="61"/>
      <c r="AC1183" s="61"/>
    </row>
    <row r="1184" ht="15.75" customHeight="1">
      <c r="A1184" s="61"/>
      <c r="B1184" s="61"/>
      <c r="C1184" s="61"/>
      <c r="D1184" s="61"/>
      <c r="E1184" s="61"/>
      <c r="F1184" s="61"/>
      <c r="G1184" s="61"/>
      <c r="H1184" s="61"/>
      <c r="I1184" s="61"/>
      <c r="J1184" s="61"/>
      <c r="K1184" s="61"/>
      <c r="L1184" s="61"/>
      <c r="M1184" s="61"/>
      <c r="N1184" s="61"/>
      <c r="O1184" s="61"/>
      <c r="P1184" s="61"/>
      <c r="Q1184" s="61"/>
      <c r="R1184" s="61"/>
      <c r="S1184" s="61"/>
      <c r="T1184" s="61"/>
      <c r="U1184" s="61"/>
      <c r="V1184" s="61"/>
      <c r="W1184" s="61"/>
      <c r="X1184" s="61"/>
      <c r="Y1184" s="61"/>
      <c r="Z1184" s="61"/>
      <c r="AA1184" s="61"/>
      <c r="AB1184" s="61"/>
      <c r="AC1184" s="61"/>
    </row>
    <row r="1185" ht="15.75" customHeight="1">
      <c r="A1185" s="61"/>
      <c r="B1185" s="61"/>
      <c r="C1185" s="61"/>
      <c r="D1185" s="61"/>
      <c r="E1185" s="61"/>
      <c r="F1185" s="61"/>
      <c r="G1185" s="61"/>
      <c r="H1185" s="61"/>
      <c r="I1185" s="61"/>
      <c r="J1185" s="61"/>
      <c r="K1185" s="61"/>
      <c r="L1185" s="61"/>
      <c r="M1185" s="61"/>
      <c r="N1185" s="61"/>
      <c r="O1185" s="61"/>
      <c r="P1185" s="61"/>
      <c r="Q1185" s="61"/>
      <c r="R1185" s="61"/>
      <c r="S1185" s="61"/>
      <c r="T1185" s="61"/>
      <c r="U1185" s="61"/>
      <c r="V1185" s="61"/>
      <c r="W1185" s="61"/>
      <c r="X1185" s="61"/>
      <c r="Y1185" s="61"/>
      <c r="Z1185" s="61"/>
      <c r="AA1185" s="61"/>
      <c r="AB1185" s="61"/>
      <c r="AC1185" s="61"/>
    </row>
    <row r="1186" ht="15.75" customHeight="1">
      <c r="A1186" s="61"/>
      <c r="B1186" s="61"/>
      <c r="C1186" s="61"/>
      <c r="D1186" s="61"/>
      <c r="E1186" s="61"/>
      <c r="F1186" s="61"/>
      <c r="G1186" s="61"/>
      <c r="H1186" s="61"/>
      <c r="I1186" s="61"/>
      <c r="J1186" s="61"/>
      <c r="K1186" s="61"/>
      <c r="L1186" s="61"/>
      <c r="M1186" s="61"/>
      <c r="N1186" s="61"/>
      <c r="O1186" s="61"/>
      <c r="P1186" s="61"/>
      <c r="Q1186" s="61"/>
      <c r="R1186" s="61"/>
      <c r="S1186" s="61"/>
      <c r="T1186" s="61"/>
      <c r="U1186" s="61"/>
      <c r="V1186" s="61"/>
      <c r="W1186" s="61"/>
      <c r="X1186" s="61"/>
      <c r="Y1186" s="61"/>
      <c r="Z1186" s="61"/>
      <c r="AA1186" s="61"/>
      <c r="AB1186" s="61"/>
      <c r="AC1186" s="61"/>
    </row>
    <row r="1187" ht="15.75" customHeight="1">
      <c r="A1187" s="61"/>
      <c r="B1187" s="61"/>
      <c r="C1187" s="61"/>
      <c r="D1187" s="61"/>
      <c r="E1187" s="61"/>
      <c r="F1187" s="61"/>
      <c r="G1187" s="61"/>
      <c r="H1187" s="61"/>
      <c r="I1187" s="61"/>
      <c r="J1187" s="61"/>
      <c r="K1187" s="61"/>
      <c r="L1187" s="61"/>
      <c r="M1187" s="61"/>
      <c r="N1187" s="61"/>
      <c r="O1187" s="61"/>
      <c r="P1187" s="61"/>
      <c r="Q1187" s="61"/>
      <c r="R1187" s="61"/>
      <c r="S1187" s="61"/>
      <c r="T1187" s="61"/>
      <c r="U1187" s="61"/>
      <c r="V1187" s="61"/>
      <c r="W1187" s="61"/>
      <c r="X1187" s="61"/>
      <c r="Y1187" s="61"/>
      <c r="Z1187" s="61"/>
      <c r="AA1187" s="61"/>
      <c r="AB1187" s="61"/>
      <c r="AC1187" s="61"/>
    </row>
    <row r="1188" ht="15.75" customHeight="1">
      <c r="A1188" s="61"/>
      <c r="B1188" s="61"/>
      <c r="C1188" s="61"/>
      <c r="D1188" s="61"/>
      <c r="E1188" s="61"/>
      <c r="F1188" s="61"/>
      <c r="G1188" s="61"/>
      <c r="H1188" s="61"/>
      <c r="I1188" s="61"/>
      <c r="J1188" s="61"/>
      <c r="K1188" s="61"/>
      <c r="L1188" s="61"/>
      <c r="M1188" s="61"/>
      <c r="N1188" s="61"/>
      <c r="O1188" s="61"/>
      <c r="P1188" s="61"/>
      <c r="Q1188" s="61"/>
      <c r="R1188" s="61"/>
      <c r="S1188" s="61"/>
      <c r="T1188" s="61"/>
      <c r="U1188" s="61"/>
      <c r="V1188" s="61"/>
      <c r="W1188" s="61"/>
      <c r="X1188" s="61"/>
      <c r="Y1188" s="61"/>
      <c r="Z1188" s="61"/>
      <c r="AA1188" s="61"/>
      <c r="AB1188" s="61"/>
      <c r="AC1188" s="61"/>
    </row>
    <row r="1189" ht="15.75" customHeight="1">
      <c r="A1189" s="61"/>
      <c r="B1189" s="61"/>
      <c r="C1189" s="61"/>
      <c r="D1189" s="61"/>
      <c r="E1189" s="61"/>
      <c r="F1189" s="61"/>
      <c r="G1189" s="61"/>
      <c r="H1189" s="61"/>
      <c r="I1189" s="61"/>
      <c r="J1189" s="61"/>
      <c r="K1189" s="61"/>
      <c r="L1189" s="61"/>
      <c r="M1189" s="61"/>
      <c r="N1189" s="61"/>
      <c r="O1189" s="61"/>
      <c r="P1189" s="61"/>
      <c r="Q1189" s="61"/>
      <c r="R1189" s="61"/>
      <c r="S1189" s="61"/>
      <c r="T1189" s="61"/>
      <c r="U1189" s="61"/>
      <c r="V1189" s="61"/>
      <c r="W1189" s="61"/>
      <c r="X1189" s="61"/>
      <c r="Y1189" s="61"/>
      <c r="Z1189" s="61"/>
      <c r="AA1189" s="61"/>
      <c r="AB1189" s="61"/>
      <c r="AC1189" s="61"/>
    </row>
    <row r="1190" ht="15.75" customHeight="1">
      <c r="A1190" s="61"/>
      <c r="B1190" s="61"/>
      <c r="C1190" s="61"/>
      <c r="D1190" s="61"/>
      <c r="E1190" s="61"/>
      <c r="F1190" s="61"/>
      <c r="G1190" s="61"/>
      <c r="H1190" s="61"/>
      <c r="I1190" s="61"/>
      <c r="J1190" s="61"/>
      <c r="K1190" s="61"/>
      <c r="L1190" s="61"/>
      <c r="M1190" s="61"/>
      <c r="N1190" s="61"/>
      <c r="O1190" s="61"/>
      <c r="P1190" s="61"/>
      <c r="Q1190" s="61"/>
      <c r="R1190" s="61"/>
      <c r="S1190" s="61"/>
      <c r="T1190" s="61"/>
      <c r="U1190" s="61"/>
      <c r="V1190" s="61"/>
      <c r="W1190" s="61"/>
      <c r="X1190" s="61"/>
      <c r="Y1190" s="61"/>
      <c r="Z1190" s="61"/>
      <c r="AA1190" s="61"/>
      <c r="AB1190" s="61"/>
      <c r="AC1190" s="61"/>
    </row>
    <row r="1191" ht="15.75" customHeight="1">
      <c r="A1191" s="61"/>
      <c r="B1191" s="61"/>
      <c r="C1191" s="61"/>
      <c r="D1191" s="61"/>
      <c r="E1191" s="61"/>
      <c r="F1191" s="61"/>
      <c r="G1191" s="61"/>
      <c r="H1191" s="61"/>
      <c r="I1191" s="61"/>
      <c r="J1191" s="61"/>
      <c r="K1191" s="61"/>
      <c r="L1191" s="61"/>
      <c r="M1191" s="61"/>
      <c r="N1191" s="61"/>
      <c r="O1191" s="61"/>
      <c r="P1191" s="61"/>
      <c r="Q1191" s="61"/>
      <c r="R1191" s="61"/>
      <c r="S1191" s="61"/>
      <c r="T1191" s="61"/>
      <c r="U1191" s="61"/>
      <c r="V1191" s="61"/>
      <c r="W1191" s="61"/>
      <c r="X1191" s="61"/>
      <c r="Y1191" s="61"/>
      <c r="Z1191" s="61"/>
      <c r="AA1191" s="61"/>
      <c r="AB1191" s="61"/>
      <c r="AC1191" s="61"/>
    </row>
    <row r="1192" ht="15.75" customHeight="1">
      <c r="A1192" s="61"/>
      <c r="B1192" s="61"/>
      <c r="C1192" s="61"/>
      <c r="D1192" s="61"/>
      <c r="E1192" s="61"/>
      <c r="F1192" s="61"/>
      <c r="G1192" s="61"/>
      <c r="H1192" s="61"/>
      <c r="I1192" s="61"/>
      <c r="J1192" s="61"/>
      <c r="K1192" s="61"/>
      <c r="L1192" s="61"/>
      <c r="M1192" s="61"/>
      <c r="N1192" s="61"/>
      <c r="O1192" s="61"/>
      <c r="P1192" s="61"/>
      <c r="Q1192" s="61"/>
      <c r="R1192" s="61"/>
      <c r="S1192" s="61"/>
      <c r="T1192" s="61"/>
      <c r="U1192" s="61"/>
      <c r="V1192" s="61"/>
      <c r="W1192" s="61"/>
      <c r="X1192" s="61"/>
      <c r="Y1192" s="61"/>
      <c r="Z1192" s="61"/>
      <c r="AA1192" s="61"/>
      <c r="AB1192" s="61"/>
      <c r="AC1192" s="61"/>
    </row>
    <row r="1193" ht="15.75" customHeight="1">
      <c r="A1193" s="61"/>
      <c r="B1193" s="61"/>
      <c r="C1193" s="61"/>
      <c r="D1193" s="61"/>
      <c r="E1193" s="61"/>
      <c r="F1193" s="61"/>
      <c r="G1193" s="61"/>
      <c r="H1193" s="61"/>
      <c r="I1193" s="61"/>
      <c r="J1193" s="61"/>
      <c r="K1193" s="61"/>
      <c r="L1193" s="61"/>
      <c r="M1193" s="61"/>
      <c r="N1193" s="61"/>
      <c r="O1193" s="61"/>
      <c r="P1193" s="61"/>
      <c r="Q1193" s="61"/>
      <c r="R1193" s="61"/>
      <c r="S1193" s="61"/>
      <c r="T1193" s="61"/>
      <c r="U1193" s="61"/>
      <c r="V1193" s="61"/>
      <c r="W1193" s="61"/>
      <c r="X1193" s="61"/>
      <c r="Y1193" s="61"/>
      <c r="Z1193" s="61"/>
      <c r="AA1193" s="61"/>
      <c r="AB1193" s="61"/>
      <c r="AC1193" s="61"/>
    </row>
    <row r="1194" ht="15.75" customHeight="1">
      <c r="A1194" s="61"/>
      <c r="B1194" s="61"/>
      <c r="C1194" s="61"/>
      <c r="D1194" s="61"/>
      <c r="E1194" s="61"/>
      <c r="F1194" s="61"/>
      <c r="G1194" s="61"/>
      <c r="H1194" s="61"/>
      <c r="I1194" s="61"/>
      <c r="J1194" s="61"/>
      <c r="K1194" s="61"/>
      <c r="L1194" s="61"/>
      <c r="M1194" s="61"/>
      <c r="N1194" s="61"/>
      <c r="O1194" s="61"/>
      <c r="P1194" s="61"/>
      <c r="Q1194" s="61"/>
      <c r="R1194" s="61"/>
      <c r="S1194" s="61"/>
      <c r="T1194" s="61"/>
      <c r="U1194" s="61"/>
      <c r="V1194" s="61"/>
      <c r="W1194" s="61"/>
      <c r="X1194" s="61"/>
      <c r="Y1194" s="61"/>
      <c r="Z1194" s="61"/>
      <c r="AA1194" s="61"/>
      <c r="AB1194" s="61"/>
      <c r="AC1194" s="61"/>
    </row>
    <row r="1195" ht="15.75" customHeight="1">
      <c r="A1195" s="61"/>
      <c r="B1195" s="61"/>
      <c r="C1195" s="61"/>
      <c r="D1195" s="61"/>
      <c r="E1195" s="61"/>
      <c r="F1195" s="61"/>
      <c r="G1195" s="61"/>
      <c r="H1195" s="61"/>
      <c r="I1195" s="61"/>
      <c r="J1195" s="61"/>
      <c r="K1195" s="61"/>
      <c r="L1195" s="61"/>
      <c r="M1195" s="61"/>
      <c r="N1195" s="61"/>
      <c r="O1195" s="61"/>
      <c r="P1195" s="61"/>
      <c r="Q1195" s="61"/>
      <c r="R1195" s="61"/>
      <c r="S1195" s="61"/>
      <c r="T1195" s="61"/>
      <c r="U1195" s="61"/>
      <c r="V1195" s="61"/>
      <c r="W1195" s="61"/>
      <c r="X1195" s="61"/>
      <c r="Y1195" s="61"/>
      <c r="Z1195" s="61"/>
      <c r="AA1195" s="61"/>
      <c r="AB1195" s="61"/>
      <c r="AC1195" s="61"/>
    </row>
    <row r="1196" ht="15.75" customHeight="1">
      <c r="A1196" s="61"/>
      <c r="B1196" s="61"/>
      <c r="C1196" s="61"/>
      <c r="D1196" s="61"/>
      <c r="E1196" s="61"/>
      <c r="F1196" s="61"/>
      <c r="G1196" s="61"/>
      <c r="H1196" s="61"/>
      <c r="I1196" s="61"/>
      <c r="J1196" s="61"/>
      <c r="K1196" s="61"/>
      <c r="L1196" s="61"/>
      <c r="M1196" s="61"/>
      <c r="N1196" s="61"/>
      <c r="O1196" s="61"/>
      <c r="P1196" s="61"/>
      <c r="Q1196" s="61"/>
      <c r="R1196" s="61"/>
      <c r="S1196" s="61"/>
      <c r="T1196" s="61"/>
      <c r="U1196" s="61"/>
      <c r="V1196" s="61"/>
      <c r="W1196" s="61"/>
      <c r="X1196" s="61"/>
      <c r="Y1196" s="61"/>
      <c r="Z1196" s="61"/>
      <c r="AA1196" s="61"/>
      <c r="AB1196" s="61"/>
      <c r="AC1196" s="61"/>
    </row>
    <row r="1197" ht="15.75" customHeight="1">
      <c r="A1197" s="61"/>
      <c r="B1197" s="61"/>
      <c r="C1197" s="61"/>
      <c r="D1197" s="61"/>
      <c r="E1197" s="61"/>
      <c r="F1197" s="61"/>
      <c r="G1197" s="61"/>
      <c r="H1197" s="61"/>
      <c r="I1197" s="61"/>
      <c r="J1197" s="61"/>
      <c r="K1197" s="61"/>
      <c r="L1197" s="61"/>
      <c r="M1197" s="61"/>
      <c r="N1197" s="61"/>
      <c r="O1197" s="61"/>
      <c r="P1197" s="61"/>
      <c r="Q1197" s="61"/>
      <c r="R1197" s="61"/>
      <c r="S1197" s="61"/>
      <c r="T1197" s="61"/>
      <c r="U1197" s="61"/>
      <c r="V1197" s="61"/>
      <c r="W1197" s="61"/>
      <c r="X1197" s="61"/>
      <c r="Y1197" s="61"/>
      <c r="Z1197" s="61"/>
      <c r="AA1197" s="61"/>
      <c r="AB1197" s="61"/>
      <c r="AC1197" s="61"/>
    </row>
    <row r="1198" ht="15.75" customHeight="1">
      <c r="A1198" s="61"/>
      <c r="B1198" s="61"/>
      <c r="C1198" s="61"/>
      <c r="D1198" s="61"/>
      <c r="E1198" s="61"/>
      <c r="F1198" s="61"/>
      <c r="G1198" s="61"/>
      <c r="H1198" s="61"/>
      <c r="I1198" s="61"/>
      <c r="J1198" s="61"/>
      <c r="K1198" s="61"/>
      <c r="L1198" s="61"/>
      <c r="M1198" s="61"/>
      <c r="N1198" s="61"/>
      <c r="O1198" s="61"/>
      <c r="P1198" s="61"/>
      <c r="Q1198" s="61"/>
      <c r="R1198" s="61"/>
      <c r="S1198" s="61"/>
      <c r="T1198" s="61"/>
      <c r="U1198" s="61"/>
      <c r="V1198" s="61"/>
      <c r="W1198" s="61"/>
      <c r="X1198" s="61"/>
      <c r="Y1198" s="61"/>
      <c r="Z1198" s="61"/>
      <c r="AA1198" s="61"/>
      <c r="AB1198" s="61"/>
      <c r="AC1198" s="61"/>
    </row>
    <row r="1199" ht="15.75" customHeight="1">
      <c r="A1199" s="61"/>
      <c r="B1199" s="61"/>
      <c r="C1199" s="61"/>
      <c r="D1199" s="61"/>
      <c r="E1199" s="61"/>
      <c r="F1199" s="61"/>
      <c r="G1199" s="61"/>
      <c r="H1199" s="61"/>
      <c r="I1199" s="61"/>
      <c r="J1199" s="61"/>
      <c r="K1199" s="61"/>
      <c r="L1199" s="61"/>
      <c r="M1199" s="61"/>
      <c r="N1199" s="61"/>
      <c r="O1199" s="61"/>
      <c r="P1199" s="61"/>
      <c r="Q1199" s="61"/>
      <c r="R1199" s="61"/>
      <c r="S1199" s="61"/>
      <c r="T1199" s="61"/>
      <c r="U1199" s="61"/>
      <c r="V1199" s="61"/>
      <c r="W1199" s="61"/>
      <c r="X1199" s="61"/>
      <c r="Y1199" s="61"/>
      <c r="Z1199" s="61"/>
      <c r="AA1199" s="61"/>
      <c r="AB1199" s="61"/>
      <c r="AC1199" s="61"/>
    </row>
    <row r="1200" ht="15.75" customHeight="1">
      <c r="A1200" s="61"/>
      <c r="B1200" s="61"/>
      <c r="C1200" s="61"/>
      <c r="D1200" s="61"/>
      <c r="E1200" s="61"/>
      <c r="F1200" s="61"/>
      <c r="G1200" s="61"/>
      <c r="H1200" s="61"/>
      <c r="I1200" s="61"/>
      <c r="J1200" s="61"/>
      <c r="K1200" s="61"/>
      <c r="L1200" s="61"/>
      <c r="M1200" s="61"/>
      <c r="N1200" s="61"/>
      <c r="O1200" s="61"/>
      <c r="P1200" s="61"/>
      <c r="Q1200" s="61"/>
      <c r="R1200" s="61"/>
      <c r="S1200" s="61"/>
      <c r="T1200" s="61"/>
      <c r="U1200" s="61"/>
      <c r="V1200" s="61"/>
      <c r="W1200" s="61"/>
      <c r="X1200" s="61"/>
      <c r="Y1200" s="61"/>
      <c r="Z1200" s="61"/>
      <c r="AA1200" s="61"/>
      <c r="AB1200" s="61"/>
      <c r="AC1200" s="61"/>
    </row>
    <row r="1201" ht="15.75" customHeight="1">
      <c r="A1201" s="61"/>
      <c r="B1201" s="61"/>
      <c r="C1201" s="61"/>
      <c r="D1201" s="61"/>
      <c r="E1201" s="61"/>
      <c r="F1201" s="61"/>
      <c r="G1201" s="61"/>
      <c r="H1201" s="61"/>
      <c r="I1201" s="61"/>
      <c r="J1201" s="61"/>
      <c r="K1201" s="61"/>
      <c r="L1201" s="61"/>
      <c r="M1201" s="61"/>
      <c r="N1201" s="61"/>
      <c r="O1201" s="61"/>
      <c r="P1201" s="61"/>
      <c r="Q1201" s="61"/>
      <c r="R1201" s="61"/>
      <c r="S1201" s="61"/>
      <c r="T1201" s="61"/>
      <c r="U1201" s="61"/>
      <c r="V1201" s="61"/>
      <c r="W1201" s="61"/>
      <c r="X1201" s="61"/>
      <c r="Y1201" s="61"/>
      <c r="Z1201" s="61"/>
      <c r="AA1201" s="61"/>
      <c r="AB1201" s="61"/>
      <c r="AC1201" s="61"/>
    </row>
    <row r="1202" ht="15.75" customHeight="1">
      <c r="A1202" s="61"/>
      <c r="B1202" s="61"/>
      <c r="C1202" s="61"/>
      <c r="D1202" s="61"/>
      <c r="E1202" s="61"/>
      <c r="F1202" s="61"/>
      <c r="G1202" s="61"/>
      <c r="H1202" s="61"/>
      <c r="I1202" s="61"/>
      <c r="J1202" s="61"/>
      <c r="K1202" s="61"/>
      <c r="L1202" s="61"/>
      <c r="M1202" s="61"/>
      <c r="N1202" s="61"/>
      <c r="O1202" s="61"/>
      <c r="P1202" s="61"/>
      <c r="Q1202" s="61"/>
      <c r="R1202" s="61"/>
      <c r="S1202" s="61"/>
      <c r="T1202" s="61"/>
      <c r="U1202" s="61"/>
      <c r="V1202" s="61"/>
      <c r="W1202" s="61"/>
      <c r="X1202" s="61"/>
      <c r="Y1202" s="61"/>
      <c r="Z1202" s="61"/>
      <c r="AA1202" s="61"/>
      <c r="AB1202" s="61"/>
      <c r="AC1202" s="61"/>
    </row>
    <row r="1203" ht="15.75" customHeight="1">
      <c r="A1203" s="61"/>
      <c r="B1203" s="61"/>
      <c r="C1203" s="61"/>
      <c r="D1203" s="61"/>
      <c r="E1203" s="61"/>
      <c r="F1203" s="61"/>
      <c r="G1203" s="61"/>
      <c r="H1203" s="61"/>
      <c r="I1203" s="61"/>
      <c r="J1203" s="61"/>
      <c r="K1203" s="61"/>
      <c r="L1203" s="61"/>
      <c r="M1203" s="61"/>
      <c r="N1203" s="61"/>
      <c r="O1203" s="61"/>
      <c r="P1203" s="61"/>
      <c r="Q1203" s="61"/>
      <c r="R1203" s="61"/>
      <c r="S1203" s="61"/>
      <c r="T1203" s="61"/>
      <c r="U1203" s="61"/>
      <c r="V1203" s="61"/>
      <c r="W1203" s="61"/>
      <c r="X1203" s="61"/>
      <c r="Y1203" s="61"/>
      <c r="Z1203" s="61"/>
      <c r="AA1203" s="61"/>
      <c r="AB1203" s="61"/>
      <c r="AC1203" s="61"/>
    </row>
    <row r="1204" ht="15.75" customHeight="1">
      <c r="A1204" s="61"/>
      <c r="B1204" s="61"/>
      <c r="C1204" s="61"/>
      <c r="D1204" s="61"/>
      <c r="E1204" s="61"/>
      <c r="F1204" s="61"/>
      <c r="G1204" s="61"/>
      <c r="H1204" s="61"/>
      <c r="I1204" s="61"/>
      <c r="J1204" s="61"/>
      <c r="K1204" s="61"/>
      <c r="L1204" s="61"/>
      <c r="M1204" s="61"/>
      <c r="N1204" s="61"/>
      <c r="O1204" s="61"/>
      <c r="P1204" s="61"/>
      <c r="Q1204" s="61"/>
      <c r="R1204" s="61"/>
      <c r="S1204" s="61"/>
      <c r="T1204" s="61"/>
      <c r="U1204" s="61"/>
      <c r="V1204" s="61"/>
      <c r="W1204" s="61"/>
      <c r="X1204" s="61"/>
      <c r="Y1204" s="61"/>
      <c r="Z1204" s="61"/>
      <c r="AA1204" s="61"/>
      <c r="AB1204" s="61"/>
      <c r="AC1204" s="61"/>
    </row>
    <row r="1205" ht="15.75" customHeight="1">
      <c r="A1205" s="61"/>
      <c r="B1205" s="61"/>
      <c r="C1205" s="61"/>
      <c r="D1205" s="61"/>
      <c r="E1205" s="61"/>
      <c r="F1205" s="61"/>
      <c r="G1205" s="61"/>
      <c r="H1205" s="61"/>
      <c r="I1205" s="61"/>
      <c r="J1205" s="61"/>
      <c r="K1205" s="61"/>
      <c r="L1205" s="61"/>
      <c r="M1205" s="61"/>
      <c r="N1205" s="61"/>
      <c r="O1205" s="61"/>
      <c r="P1205" s="61"/>
      <c r="Q1205" s="61"/>
      <c r="R1205" s="61"/>
      <c r="S1205" s="61"/>
      <c r="T1205" s="61"/>
      <c r="U1205" s="61"/>
      <c r="V1205" s="61"/>
      <c r="W1205" s="61"/>
      <c r="X1205" s="61"/>
      <c r="Y1205" s="61"/>
      <c r="Z1205" s="61"/>
      <c r="AA1205" s="61"/>
      <c r="AB1205" s="61"/>
      <c r="AC1205" s="61"/>
    </row>
    <row r="1206" ht="15.75" customHeight="1">
      <c r="A1206" s="61"/>
      <c r="B1206" s="61"/>
      <c r="C1206" s="61"/>
      <c r="D1206" s="61"/>
      <c r="E1206" s="61"/>
      <c r="F1206" s="61"/>
      <c r="G1206" s="61"/>
      <c r="H1206" s="61"/>
      <c r="I1206" s="61"/>
      <c r="J1206" s="61"/>
      <c r="K1206" s="61"/>
      <c r="L1206" s="61"/>
      <c r="M1206" s="61"/>
      <c r="N1206" s="61"/>
      <c r="O1206" s="61"/>
      <c r="P1206" s="61"/>
      <c r="Q1206" s="61"/>
      <c r="R1206" s="61"/>
      <c r="S1206" s="61"/>
      <c r="T1206" s="61"/>
      <c r="U1206" s="61"/>
      <c r="V1206" s="61"/>
      <c r="W1206" s="61"/>
      <c r="X1206" s="61"/>
      <c r="Y1206" s="61"/>
      <c r="Z1206" s="61"/>
      <c r="AA1206" s="61"/>
      <c r="AB1206" s="61"/>
      <c r="AC1206" s="61"/>
    </row>
    <row r="1207" ht="15.75" customHeight="1">
      <c r="A1207" s="61"/>
      <c r="B1207" s="61"/>
      <c r="C1207" s="61"/>
      <c r="D1207" s="61"/>
      <c r="E1207" s="61"/>
      <c r="F1207" s="61"/>
      <c r="G1207" s="61"/>
      <c r="H1207" s="61"/>
      <c r="I1207" s="61"/>
      <c r="J1207" s="61"/>
      <c r="K1207" s="61"/>
      <c r="L1207" s="61"/>
      <c r="M1207" s="61"/>
      <c r="N1207" s="61"/>
      <c r="O1207" s="61"/>
      <c r="P1207" s="61"/>
      <c r="Q1207" s="61"/>
      <c r="R1207" s="61"/>
      <c r="S1207" s="61"/>
      <c r="T1207" s="61"/>
      <c r="U1207" s="61"/>
      <c r="V1207" s="61"/>
      <c r="W1207" s="61"/>
      <c r="X1207" s="61"/>
      <c r="Y1207" s="61"/>
      <c r="Z1207" s="61"/>
      <c r="AA1207" s="61"/>
      <c r="AB1207" s="61"/>
      <c r="AC1207" s="61"/>
    </row>
    <row r="1208" ht="15.75" customHeight="1">
      <c r="A1208" s="61"/>
      <c r="B1208" s="61"/>
      <c r="C1208" s="61"/>
      <c r="D1208" s="61"/>
      <c r="E1208" s="61"/>
      <c r="F1208" s="61"/>
      <c r="G1208" s="61"/>
      <c r="H1208" s="61"/>
      <c r="I1208" s="61"/>
      <c r="J1208" s="61"/>
      <c r="K1208" s="61"/>
      <c r="L1208" s="61"/>
      <c r="M1208" s="61"/>
      <c r="N1208" s="61"/>
      <c r="O1208" s="61"/>
      <c r="P1208" s="61"/>
      <c r="Q1208" s="61"/>
      <c r="R1208" s="61"/>
      <c r="S1208" s="61"/>
      <c r="T1208" s="61"/>
      <c r="U1208" s="61"/>
      <c r="V1208" s="61"/>
      <c r="W1208" s="61"/>
      <c r="X1208" s="61"/>
      <c r="Y1208" s="61"/>
      <c r="Z1208" s="61"/>
      <c r="AA1208" s="61"/>
      <c r="AB1208" s="61"/>
      <c r="AC1208" s="61"/>
    </row>
    <row r="1209" ht="15.75" customHeight="1">
      <c r="A1209" s="61"/>
      <c r="B1209" s="61"/>
      <c r="C1209" s="61"/>
      <c r="D1209" s="61"/>
      <c r="E1209" s="61"/>
      <c r="F1209" s="61"/>
      <c r="G1209" s="61"/>
      <c r="H1209" s="61"/>
      <c r="I1209" s="61"/>
      <c r="J1209" s="61"/>
      <c r="K1209" s="61"/>
      <c r="L1209" s="61"/>
      <c r="M1209" s="61"/>
      <c r="N1209" s="61"/>
      <c r="O1209" s="61"/>
      <c r="P1209" s="61"/>
      <c r="Q1209" s="61"/>
      <c r="R1209" s="61"/>
      <c r="S1209" s="61"/>
      <c r="T1209" s="61"/>
      <c r="U1209" s="61"/>
      <c r="V1209" s="61"/>
      <c r="W1209" s="61"/>
      <c r="X1209" s="61"/>
      <c r="Y1209" s="61"/>
      <c r="Z1209" s="61"/>
      <c r="AA1209" s="61"/>
      <c r="AB1209" s="61"/>
      <c r="AC1209" s="61"/>
    </row>
    <row r="1210" ht="15.75" customHeight="1">
      <c r="A1210" s="61"/>
      <c r="B1210" s="61"/>
      <c r="C1210" s="61"/>
      <c r="D1210" s="61"/>
      <c r="E1210" s="61"/>
      <c r="F1210" s="61"/>
      <c r="G1210" s="61"/>
      <c r="H1210" s="61"/>
      <c r="I1210" s="61"/>
      <c r="J1210" s="61"/>
      <c r="K1210" s="61"/>
      <c r="L1210" s="61"/>
      <c r="M1210" s="61"/>
      <c r="N1210" s="61"/>
      <c r="O1210" s="61"/>
      <c r="P1210" s="61"/>
      <c r="Q1210" s="61"/>
      <c r="R1210" s="61"/>
      <c r="S1210" s="61"/>
      <c r="T1210" s="61"/>
      <c r="U1210" s="61"/>
      <c r="V1210" s="61"/>
      <c r="W1210" s="61"/>
      <c r="X1210" s="61"/>
      <c r="Y1210" s="61"/>
      <c r="Z1210" s="61"/>
      <c r="AA1210" s="61"/>
      <c r="AB1210" s="61"/>
      <c r="AC1210" s="61"/>
    </row>
    <row r="1211" ht="15.75" customHeight="1">
      <c r="A1211" s="61"/>
      <c r="B1211" s="61"/>
      <c r="C1211" s="61"/>
      <c r="D1211" s="61"/>
      <c r="E1211" s="61"/>
      <c r="F1211" s="61"/>
      <c r="G1211" s="61"/>
      <c r="H1211" s="61"/>
      <c r="I1211" s="61"/>
      <c r="J1211" s="61"/>
      <c r="K1211" s="61"/>
      <c r="L1211" s="61"/>
      <c r="M1211" s="61"/>
      <c r="N1211" s="61"/>
      <c r="O1211" s="61"/>
      <c r="P1211" s="61"/>
      <c r="Q1211" s="61"/>
      <c r="R1211" s="61"/>
      <c r="S1211" s="61"/>
      <c r="T1211" s="61"/>
      <c r="U1211" s="61"/>
      <c r="V1211" s="61"/>
      <c r="W1211" s="61"/>
      <c r="X1211" s="61"/>
      <c r="Y1211" s="61"/>
      <c r="Z1211" s="61"/>
      <c r="AA1211" s="61"/>
      <c r="AB1211" s="61"/>
      <c r="AC1211" s="61"/>
    </row>
    <row r="1212" ht="15.75" customHeight="1">
      <c r="A1212" s="61"/>
      <c r="B1212" s="61"/>
      <c r="C1212" s="61"/>
      <c r="D1212" s="61"/>
      <c r="E1212" s="61"/>
      <c r="F1212" s="61"/>
      <c r="G1212" s="61"/>
      <c r="H1212" s="61"/>
      <c r="I1212" s="61"/>
      <c r="J1212" s="61"/>
      <c r="K1212" s="61"/>
      <c r="L1212" s="61"/>
      <c r="M1212" s="61"/>
      <c r="N1212" s="61"/>
      <c r="O1212" s="61"/>
      <c r="P1212" s="61"/>
      <c r="Q1212" s="61"/>
      <c r="R1212" s="61"/>
      <c r="S1212" s="61"/>
      <c r="T1212" s="61"/>
      <c r="U1212" s="61"/>
      <c r="V1212" s="61"/>
      <c r="W1212" s="61"/>
      <c r="X1212" s="61"/>
      <c r="Y1212" s="61"/>
      <c r="Z1212" s="61"/>
      <c r="AA1212" s="61"/>
      <c r="AB1212" s="61"/>
      <c r="AC1212" s="61"/>
    </row>
    <row r="1213" ht="15.75" customHeight="1">
      <c r="A1213" s="61"/>
      <c r="B1213" s="61"/>
      <c r="C1213" s="61"/>
      <c r="D1213" s="61"/>
      <c r="E1213" s="61"/>
      <c r="F1213" s="61"/>
      <c r="G1213" s="61"/>
      <c r="H1213" s="61"/>
      <c r="I1213" s="61"/>
      <c r="J1213" s="61"/>
      <c r="K1213" s="61"/>
      <c r="L1213" s="61"/>
      <c r="M1213" s="61"/>
      <c r="N1213" s="61"/>
      <c r="O1213" s="61"/>
      <c r="P1213" s="61"/>
      <c r="Q1213" s="61"/>
      <c r="R1213" s="61"/>
      <c r="S1213" s="61"/>
      <c r="T1213" s="61"/>
      <c r="U1213" s="61"/>
      <c r="V1213" s="61"/>
      <c r="W1213" s="61"/>
      <c r="X1213" s="61"/>
      <c r="Y1213" s="61"/>
      <c r="Z1213" s="61"/>
      <c r="AA1213" s="61"/>
      <c r="AB1213" s="61"/>
      <c r="AC1213" s="61"/>
    </row>
    <row r="1214" ht="15.75" customHeight="1">
      <c r="A1214" s="61"/>
      <c r="B1214" s="61"/>
      <c r="C1214" s="61"/>
      <c r="D1214" s="61"/>
      <c r="E1214" s="61"/>
      <c r="F1214" s="61"/>
      <c r="G1214" s="61"/>
      <c r="H1214" s="61"/>
      <c r="I1214" s="61"/>
      <c r="J1214" s="61"/>
      <c r="K1214" s="61"/>
      <c r="L1214" s="61"/>
      <c r="M1214" s="61"/>
      <c r="N1214" s="61"/>
      <c r="O1214" s="61"/>
      <c r="P1214" s="61"/>
      <c r="Q1214" s="61"/>
      <c r="R1214" s="61"/>
      <c r="S1214" s="61"/>
      <c r="T1214" s="61"/>
      <c r="U1214" s="61"/>
      <c r="V1214" s="61"/>
      <c r="W1214" s="61"/>
      <c r="X1214" s="61"/>
      <c r="Y1214" s="61"/>
      <c r="Z1214" s="61"/>
      <c r="AA1214" s="61"/>
      <c r="AB1214" s="61"/>
      <c r="AC1214" s="61"/>
    </row>
    <row r="1215" ht="15.75" customHeight="1">
      <c r="A1215" s="61"/>
      <c r="B1215" s="61"/>
      <c r="C1215" s="61"/>
      <c r="D1215" s="61"/>
      <c r="E1215" s="61"/>
      <c r="F1215" s="61"/>
      <c r="G1215" s="61"/>
      <c r="H1215" s="61"/>
      <c r="I1215" s="61"/>
      <c r="J1215" s="61"/>
      <c r="K1215" s="61"/>
      <c r="L1215" s="61"/>
      <c r="M1215" s="61"/>
      <c r="N1215" s="61"/>
      <c r="O1215" s="61"/>
      <c r="P1215" s="61"/>
      <c r="Q1215" s="61"/>
      <c r="R1215" s="61"/>
      <c r="S1215" s="61"/>
      <c r="T1215" s="61"/>
      <c r="U1215" s="61"/>
      <c r="V1215" s="61"/>
      <c r="W1215" s="61"/>
      <c r="X1215" s="61"/>
      <c r="Y1215" s="61"/>
      <c r="Z1215" s="61"/>
      <c r="AA1215" s="61"/>
      <c r="AB1215" s="61"/>
      <c r="AC1215" s="61"/>
    </row>
    <row r="1216" ht="15.75" customHeight="1">
      <c r="A1216" s="61"/>
      <c r="B1216" s="61"/>
      <c r="C1216" s="61"/>
      <c r="D1216" s="61"/>
      <c r="E1216" s="61"/>
      <c r="F1216" s="61"/>
      <c r="G1216" s="61"/>
      <c r="H1216" s="61"/>
      <c r="I1216" s="61"/>
      <c r="J1216" s="61"/>
      <c r="K1216" s="61"/>
      <c r="L1216" s="61"/>
      <c r="M1216" s="61"/>
      <c r="N1216" s="61"/>
      <c r="O1216" s="61"/>
      <c r="P1216" s="61"/>
      <c r="Q1216" s="61"/>
      <c r="R1216" s="61"/>
      <c r="S1216" s="61"/>
      <c r="T1216" s="61"/>
      <c r="U1216" s="61"/>
      <c r="V1216" s="61"/>
      <c r="W1216" s="61"/>
      <c r="X1216" s="61"/>
      <c r="Y1216" s="61"/>
      <c r="Z1216" s="61"/>
      <c r="AA1216" s="61"/>
      <c r="AB1216" s="61"/>
      <c r="AC1216" s="61"/>
    </row>
    <row r="1217" ht="15.75" customHeight="1">
      <c r="A1217" s="61"/>
      <c r="B1217" s="61"/>
      <c r="C1217" s="61"/>
      <c r="D1217" s="61"/>
      <c r="E1217" s="61"/>
      <c r="F1217" s="61"/>
      <c r="G1217" s="61"/>
      <c r="H1217" s="61"/>
      <c r="I1217" s="61"/>
      <c r="J1217" s="61"/>
      <c r="K1217" s="61"/>
      <c r="L1217" s="61"/>
      <c r="M1217" s="61"/>
      <c r="N1217" s="61"/>
      <c r="O1217" s="61"/>
      <c r="P1217" s="61"/>
      <c r="Q1217" s="61"/>
      <c r="R1217" s="61"/>
      <c r="S1217" s="61"/>
      <c r="T1217" s="61"/>
      <c r="U1217" s="61"/>
      <c r="V1217" s="61"/>
      <c r="W1217" s="61"/>
      <c r="X1217" s="61"/>
      <c r="Y1217" s="61"/>
      <c r="Z1217" s="61"/>
      <c r="AA1217" s="61"/>
      <c r="AB1217" s="61"/>
      <c r="AC1217" s="61"/>
    </row>
    <row r="1218" ht="15.75" customHeight="1">
      <c r="A1218" s="61"/>
      <c r="B1218" s="61"/>
      <c r="C1218" s="61"/>
      <c r="D1218" s="61"/>
      <c r="E1218" s="61"/>
      <c r="F1218" s="61"/>
      <c r="G1218" s="61"/>
      <c r="H1218" s="61"/>
      <c r="I1218" s="61"/>
      <c r="J1218" s="61"/>
      <c r="K1218" s="61"/>
      <c r="L1218" s="61"/>
      <c r="M1218" s="61"/>
      <c r="N1218" s="61"/>
      <c r="O1218" s="61"/>
      <c r="P1218" s="61"/>
      <c r="Q1218" s="61"/>
      <c r="R1218" s="61"/>
      <c r="S1218" s="61"/>
      <c r="T1218" s="61"/>
      <c r="U1218" s="61"/>
      <c r="V1218" s="61"/>
      <c r="W1218" s="61"/>
      <c r="X1218" s="61"/>
      <c r="Y1218" s="61"/>
      <c r="Z1218" s="61"/>
      <c r="AA1218" s="61"/>
      <c r="AB1218" s="61"/>
      <c r="AC1218" s="61"/>
    </row>
    <row r="1219" ht="15.75" customHeight="1">
      <c r="A1219" s="61"/>
      <c r="B1219" s="61"/>
      <c r="C1219" s="61"/>
      <c r="D1219" s="61"/>
      <c r="E1219" s="61"/>
      <c r="F1219" s="61"/>
      <c r="G1219" s="61"/>
      <c r="H1219" s="61"/>
      <c r="I1219" s="61"/>
      <c r="J1219" s="61"/>
      <c r="K1219" s="61"/>
      <c r="L1219" s="61"/>
      <c r="M1219" s="61"/>
      <c r="N1219" s="61"/>
      <c r="O1219" s="61"/>
      <c r="P1219" s="61"/>
      <c r="Q1219" s="61"/>
      <c r="R1219" s="61"/>
      <c r="S1219" s="61"/>
      <c r="T1219" s="61"/>
      <c r="U1219" s="61"/>
      <c r="V1219" s="61"/>
      <c r="W1219" s="61"/>
      <c r="X1219" s="61"/>
      <c r="Y1219" s="61"/>
      <c r="Z1219" s="61"/>
      <c r="AA1219" s="61"/>
      <c r="AB1219" s="61"/>
      <c r="AC1219" s="61"/>
    </row>
    <row r="1220" ht="15.75" customHeight="1">
      <c r="A1220" s="61"/>
      <c r="B1220" s="61"/>
      <c r="C1220" s="61"/>
      <c r="D1220" s="61"/>
      <c r="E1220" s="61"/>
      <c r="F1220" s="61"/>
      <c r="G1220" s="61"/>
      <c r="H1220" s="61"/>
      <c r="I1220" s="61"/>
      <c r="J1220" s="61"/>
      <c r="K1220" s="61"/>
      <c r="L1220" s="61"/>
      <c r="M1220" s="61"/>
      <c r="N1220" s="61"/>
      <c r="O1220" s="61"/>
      <c r="P1220" s="61"/>
      <c r="Q1220" s="61"/>
      <c r="R1220" s="61"/>
      <c r="S1220" s="61"/>
      <c r="T1220" s="61"/>
      <c r="U1220" s="61"/>
      <c r="V1220" s="61"/>
      <c r="W1220" s="61"/>
      <c r="X1220" s="61"/>
      <c r="Y1220" s="61"/>
      <c r="Z1220" s="61"/>
      <c r="AA1220" s="61"/>
      <c r="AB1220" s="61"/>
      <c r="AC1220" s="61"/>
    </row>
    <row r="1221" ht="15.75" customHeight="1">
      <c r="A1221" s="61"/>
      <c r="B1221" s="61"/>
      <c r="C1221" s="61"/>
      <c r="D1221" s="61"/>
      <c r="E1221" s="61"/>
      <c r="F1221" s="61"/>
      <c r="G1221" s="61"/>
      <c r="H1221" s="61"/>
      <c r="I1221" s="61"/>
      <c r="J1221" s="61"/>
      <c r="K1221" s="61"/>
      <c r="L1221" s="61"/>
      <c r="M1221" s="61"/>
      <c r="N1221" s="61"/>
      <c r="O1221" s="61"/>
      <c r="P1221" s="61"/>
      <c r="Q1221" s="61"/>
      <c r="R1221" s="61"/>
      <c r="S1221" s="61"/>
      <c r="T1221" s="61"/>
      <c r="U1221" s="61"/>
      <c r="V1221" s="61"/>
      <c r="W1221" s="61"/>
      <c r="X1221" s="61"/>
      <c r="Y1221" s="61"/>
      <c r="Z1221" s="61"/>
      <c r="AA1221" s="61"/>
      <c r="AB1221" s="61"/>
      <c r="AC1221" s="61"/>
    </row>
    <row r="1222" ht="15.75" customHeight="1">
      <c r="A1222" s="61"/>
      <c r="B1222" s="61"/>
      <c r="C1222" s="61"/>
      <c r="D1222" s="61"/>
      <c r="E1222" s="61"/>
      <c r="F1222" s="61"/>
      <c r="G1222" s="61"/>
      <c r="H1222" s="61"/>
      <c r="I1222" s="61"/>
      <c r="J1222" s="61"/>
      <c r="K1222" s="61"/>
      <c r="L1222" s="61"/>
      <c r="M1222" s="61"/>
      <c r="N1222" s="61"/>
      <c r="O1222" s="61"/>
      <c r="P1222" s="61"/>
      <c r="Q1222" s="61"/>
      <c r="R1222" s="61"/>
      <c r="S1222" s="61"/>
      <c r="T1222" s="61"/>
      <c r="U1222" s="61"/>
      <c r="V1222" s="61"/>
      <c r="W1222" s="61"/>
      <c r="X1222" s="61"/>
      <c r="Y1222" s="61"/>
      <c r="Z1222" s="61"/>
      <c r="AA1222" s="61"/>
      <c r="AB1222" s="61"/>
      <c r="AC1222" s="61"/>
    </row>
    <row r="1223" ht="15.75" customHeight="1">
      <c r="A1223" s="61"/>
      <c r="B1223" s="61"/>
      <c r="C1223" s="61"/>
      <c r="D1223" s="61"/>
      <c r="E1223" s="61"/>
      <c r="F1223" s="61"/>
      <c r="G1223" s="61"/>
      <c r="H1223" s="61"/>
      <c r="I1223" s="61"/>
      <c r="J1223" s="61"/>
      <c r="K1223" s="61"/>
      <c r="L1223" s="61"/>
      <c r="M1223" s="61"/>
      <c r="N1223" s="61"/>
      <c r="O1223" s="61"/>
      <c r="P1223" s="61"/>
      <c r="Q1223" s="61"/>
      <c r="R1223" s="61"/>
      <c r="S1223" s="61"/>
      <c r="T1223" s="61"/>
      <c r="U1223" s="61"/>
      <c r="V1223" s="61"/>
      <c r="W1223" s="61"/>
      <c r="X1223" s="61"/>
      <c r="Y1223" s="61"/>
      <c r="Z1223" s="61"/>
      <c r="AA1223" s="61"/>
      <c r="AB1223" s="61"/>
      <c r="AC1223" s="61"/>
    </row>
    <row r="1224" ht="15.75" customHeight="1">
      <c r="A1224" s="61"/>
      <c r="B1224" s="61"/>
      <c r="C1224" s="61"/>
      <c r="D1224" s="61"/>
      <c r="E1224" s="61"/>
      <c r="F1224" s="61"/>
      <c r="G1224" s="61"/>
      <c r="H1224" s="61"/>
      <c r="I1224" s="61"/>
      <c r="J1224" s="61"/>
      <c r="K1224" s="61"/>
      <c r="L1224" s="61"/>
      <c r="M1224" s="61"/>
      <c r="N1224" s="61"/>
      <c r="O1224" s="61"/>
      <c r="P1224" s="61"/>
      <c r="Q1224" s="61"/>
      <c r="R1224" s="61"/>
      <c r="S1224" s="61"/>
      <c r="T1224" s="61"/>
      <c r="U1224" s="61"/>
      <c r="V1224" s="61"/>
      <c r="W1224" s="61"/>
      <c r="X1224" s="61"/>
      <c r="Y1224" s="61"/>
      <c r="Z1224" s="61"/>
      <c r="AA1224" s="61"/>
      <c r="AB1224" s="61"/>
      <c r="AC1224" s="61"/>
    </row>
    <row r="1225" ht="15.75" customHeight="1">
      <c r="A1225" s="61"/>
      <c r="B1225" s="61"/>
      <c r="C1225" s="61"/>
      <c r="D1225" s="61"/>
      <c r="E1225" s="61"/>
      <c r="F1225" s="61"/>
      <c r="G1225" s="61"/>
      <c r="H1225" s="61"/>
      <c r="I1225" s="61"/>
      <c r="J1225" s="61"/>
      <c r="K1225" s="61"/>
      <c r="L1225" s="61"/>
      <c r="M1225" s="61"/>
      <c r="N1225" s="61"/>
      <c r="O1225" s="61"/>
      <c r="P1225" s="61"/>
      <c r="Q1225" s="61"/>
      <c r="R1225" s="61"/>
      <c r="S1225" s="61"/>
      <c r="T1225" s="61"/>
      <c r="U1225" s="61"/>
      <c r="V1225" s="61"/>
      <c r="W1225" s="61"/>
      <c r="X1225" s="61"/>
      <c r="Y1225" s="61"/>
      <c r="Z1225" s="61"/>
      <c r="AA1225" s="61"/>
      <c r="AB1225" s="61"/>
      <c r="AC1225" s="61"/>
    </row>
    <row r="1226" ht="15.75" customHeight="1">
      <c r="A1226" s="61"/>
      <c r="B1226" s="61"/>
      <c r="C1226" s="61"/>
      <c r="D1226" s="61"/>
      <c r="E1226" s="61"/>
      <c r="F1226" s="61"/>
      <c r="G1226" s="61"/>
      <c r="H1226" s="61"/>
      <c r="I1226" s="61"/>
      <c r="J1226" s="61"/>
      <c r="K1226" s="61"/>
      <c r="L1226" s="61"/>
      <c r="M1226" s="61"/>
      <c r="N1226" s="61"/>
      <c r="O1226" s="61"/>
      <c r="P1226" s="61"/>
      <c r="Q1226" s="61"/>
      <c r="R1226" s="61"/>
      <c r="S1226" s="61"/>
      <c r="T1226" s="61"/>
      <c r="U1226" s="61"/>
      <c r="V1226" s="61"/>
      <c r="W1226" s="61"/>
      <c r="X1226" s="61"/>
      <c r="Y1226" s="61"/>
      <c r="Z1226" s="61"/>
      <c r="AA1226" s="61"/>
      <c r="AB1226" s="61"/>
      <c r="AC1226" s="61"/>
    </row>
    <row r="1227" ht="15.75" customHeight="1">
      <c r="A1227" s="61"/>
      <c r="B1227" s="61"/>
      <c r="C1227" s="61"/>
      <c r="D1227" s="61"/>
      <c r="E1227" s="61"/>
      <c r="F1227" s="61"/>
      <c r="G1227" s="61"/>
      <c r="H1227" s="61"/>
      <c r="I1227" s="61"/>
      <c r="J1227" s="61"/>
      <c r="K1227" s="61"/>
      <c r="L1227" s="61"/>
      <c r="M1227" s="61"/>
      <c r="N1227" s="61"/>
      <c r="O1227" s="61"/>
      <c r="P1227" s="61"/>
      <c r="Q1227" s="61"/>
      <c r="R1227" s="61"/>
      <c r="S1227" s="61"/>
      <c r="T1227" s="61"/>
      <c r="U1227" s="61"/>
      <c r="V1227" s="61"/>
      <c r="W1227" s="61"/>
      <c r="X1227" s="61"/>
      <c r="Y1227" s="61"/>
      <c r="Z1227" s="61"/>
      <c r="AA1227" s="61"/>
      <c r="AB1227" s="61"/>
      <c r="AC1227" s="61"/>
    </row>
    <row r="1228" ht="15.75" customHeight="1">
      <c r="A1228" s="61"/>
      <c r="B1228" s="61"/>
      <c r="C1228" s="61"/>
      <c r="D1228" s="61"/>
      <c r="E1228" s="61"/>
      <c r="F1228" s="61"/>
      <c r="G1228" s="61"/>
      <c r="H1228" s="61"/>
      <c r="I1228" s="61"/>
      <c r="J1228" s="61"/>
      <c r="K1228" s="61"/>
      <c r="L1228" s="61"/>
      <c r="M1228" s="61"/>
      <c r="N1228" s="61"/>
      <c r="O1228" s="61"/>
      <c r="P1228" s="61"/>
      <c r="Q1228" s="61"/>
      <c r="R1228" s="61"/>
      <c r="S1228" s="61"/>
      <c r="T1228" s="61"/>
      <c r="U1228" s="61"/>
      <c r="V1228" s="61"/>
      <c r="W1228" s="61"/>
      <c r="X1228" s="61"/>
      <c r="Y1228" s="61"/>
      <c r="Z1228" s="61"/>
      <c r="AA1228" s="61"/>
      <c r="AB1228" s="61"/>
      <c r="AC1228" s="61"/>
    </row>
    <row r="1229" ht="15.75" customHeight="1">
      <c r="A1229" s="61"/>
      <c r="B1229" s="61"/>
      <c r="C1229" s="61"/>
      <c r="D1229" s="61"/>
      <c r="E1229" s="61"/>
      <c r="F1229" s="61"/>
      <c r="G1229" s="61"/>
      <c r="H1229" s="61"/>
      <c r="I1229" s="61"/>
      <c r="J1229" s="61"/>
      <c r="K1229" s="61"/>
      <c r="L1229" s="61"/>
      <c r="M1229" s="61"/>
      <c r="N1229" s="61"/>
      <c r="O1229" s="61"/>
      <c r="P1229" s="61"/>
      <c r="Q1229" s="61"/>
      <c r="R1229" s="61"/>
      <c r="S1229" s="61"/>
      <c r="T1229" s="61"/>
      <c r="U1229" s="61"/>
      <c r="V1229" s="61"/>
      <c r="W1229" s="61"/>
      <c r="X1229" s="61"/>
      <c r="Y1229" s="61"/>
      <c r="Z1229" s="61"/>
      <c r="AA1229" s="61"/>
      <c r="AB1229" s="61"/>
      <c r="AC1229" s="61"/>
    </row>
    <row r="1230" ht="15.75" customHeight="1">
      <c r="A1230" s="61"/>
      <c r="B1230" s="61"/>
      <c r="C1230" s="61"/>
      <c r="D1230" s="61"/>
      <c r="E1230" s="61"/>
      <c r="F1230" s="61"/>
      <c r="G1230" s="61"/>
      <c r="H1230" s="61"/>
      <c r="I1230" s="61"/>
      <c r="J1230" s="61"/>
      <c r="K1230" s="61"/>
      <c r="L1230" s="61"/>
      <c r="M1230" s="61"/>
      <c r="N1230" s="61"/>
      <c r="O1230" s="61"/>
      <c r="P1230" s="61"/>
      <c r="Q1230" s="61"/>
      <c r="R1230" s="61"/>
      <c r="S1230" s="61"/>
      <c r="T1230" s="61"/>
      <c r="U1230" s="61"/>
      <c r="V1230" s="61"/>
      <c r="W1230" s="61"/>
      <c r="X1230" s="61"/>
      <c r="Y1230" s="61"/>
      <c r="Z1230" s="61"/>
      <c r="AA1230" s="61"/>
      <c r="AB1230" s="61"/>
      <c r="AC1230" s="61"/>
    </row>
    <row r="1231" ht="15.75" customHeight="1">
      <c r="A1231" s="61"/>
      <c r="B1231" s="61"/>
      <c r="C1231" s="61"/>
      <c r="D1231" s="61"/>
      <c r="E1231" s="61"/>
      <c r="F1231" s="61"/>
      <c r="G1231" s="61"/>
      <c r="H1231" s="61"/>
      <c r="I1231" s="61"/>
      <c r="J1231" s="61"/>
      <c r="K1231" s="61"/>
      <c r="L1231" s="61"/>
      <c r="M1231" s="61"/>
      <c r="N1231" s="61"/>
      <c r="O1231" s="61"/>
      <c r="P1231" s="61"/>
      <c r="Q1231" s="61"/>
      <c r="R1231" s="61"/>
      <c r="S1231" s="61"/>
      <c r="T1231" s="61"/>
      <c r="U1231" s="61"/>
      <c r="V1231" s="61"/>
      <c r="W1231" s="61"/>
      <c r="X1231" s="61"/>
      <c r="Y1231" s="61"/>
      <c r="Z1231" s="61"/>
      <c r="AA1231" s="61"/>
      <c r="AB1231" s="61"/>
      <c r="AC1231" s="61"/>
    </row>
    <row r="1232" ht="15.75" customHeight="1">
      <c r="A1232" s="61"/>
      <c r="B1232" s="61"/>
      <c r="C1232" s="61"/>
      <c r="D1232" s="61"/>
      <c r="E1232" s="61"/>
      <c r="F1232" s="61"/>
      <c r="G1232" s="61"/>
      <c r="H1232" s="61"/>
      <c r="I1232" s="61"/>
      <c r="J1232" s="61"/>
      <c r="K1232" s="61"/>
      <c r="L1232" s="61"/>
      <c r="M1232" s="61"/>
      <c r="N1232" s="61"/>
      <c r="O1232" s="61"/>
      <c r="P1232" s="61"/>
      <c r="Q1232" s="61"/>
      <c r="R1232" s="61"/>
      <c r="S1232" s="61"/>
      <c r="T1232" s="61"/>
      <c r="U1232" s="61"/>
      <c r="V1232" s="61"/>
      <c r="W1232" s="61"/>
      <c r="X1232" s="61"/>
      <c r="Y1232" s="61"/>
      <c r="Z1232" s="61"/>
      <c r="AA1232" s="61"/>
      <c r="AB1232" s="61"/>
      <c r="AC1232" s="61"/>
    </row>
    <row r="1233" ht="15.75" customHeight="1">
      <c r="A1233" s="61"/>
      <c r="B1233" s="61"/>
      <c r="C1233" s="61"/>
      <c r="D1233" s="61"/>
      <c r="E1233" s="61"/>
      <c r="F1233" s="61"/>
      <c r="G1233" s="61"/>
      <c r="H1233" s="61"/>
      <c r="I1233" s="61"/>
      <c r="J1233" s="61"/>
      <c r="K1233" s="61"/>
      <c r="L1233" s="61"/>
      <c r="M1233" s="61"/>
      <c r="N1233" s="61"/>
      <c r="O1233" s="61"/>
      <c r="P1233" s="61"/>
      <c r="Q1233" s="61"/>
      <c r="R1233" s="61"/>
      <c r="S1233" s="61"/>
      <c r="T1233" s="61"/>
      <c r="U1233" s="61"/>
      <c r="V1233" s="61"/>
      <c r="W1233" s="61"/>
      <c r="X1233" s="61"/>
      <c r="Y1233" s="61"/>
      <c r="Z1233" s="61"/>
      <c r="AA1233" s="61"/>
      <c r="AB1233" s="61"/>
      <c r="AC1233" s="61"/>
    </row>
    <row r="1234" ht="15.75" customHeight="1">
      <c r="A1234" s="61"/>
      <c r="B1234" s="61"/>
      <c r="C1234" s="61"/>
      <c r="D1234" s="61"/>
      <c r="E1234" s="61"/>
      <c r="F1234" s="61"/>
      <c r="G1234" s="61"/>
      <c r="H1234" s="61"/>
      <c r="I1234" s="61"/>
      <c r="J1234" s="61"/>
      <c r="K1234" s="61"/>
      <c r="L1234" s="61"/>
      <c r="M1234" s="61"/>
      <c r="N1234" s="61"/>
      <c r="O1234" s="61"/>
      <c r="P1234" s="61"/>
      <c r="Q1234" s="61"/>
      <c r="R1234" s="61"/>
      <c r="S1234" s="61"/>
      <c r="T1234" s="61"/>
      <c r="U1234" s="61"/>
      <c r="V1234" s="61"/>
      <c r="W1234" s="61"/>
      <c r="X1234" s="61"/>
      <c r="Y1234" s="61"/>
      <c r="Z1234" s="61"/>
      <c r="AA1234" s="61"/>
      <c r="AB1234" s="61"/>
      <c r="AC1234" s="61"/>
    </row>
    <row r="1235" ht="15.75" customHeight="1">
      <c r="A1235" s="61"/>
      <c r="B1235" s="61"/>
      <c r="C1235" s="61"/>
      <c r="D1235" s="61"/>
      <c r="E1235" s="61"/>
      <c r="F1235" s="61"/>
      <c r="G1235" s="61"/>
      <c r="H1235" s="61"/>
      <c r="I1235" s="61"/>
      <c r="J1235" s="61"/>
      <c r="K1235" s="61"/>
      <c r="L1235" s="61"/>
      <c r="M1235" s="61"/>
      <c r="N1235" s="61"/>
      <c r="O1235" s="61"/>
      <c r="P1235" s="61"/>
      <c r="Q1235" s="61"/>
      <c r="R1235" s="61"/>
      <c r="S1235" s="61"/>
      <c r="T1235" s="61"/>
      <c r="U1235" s="61"/>
      <c r="V1235" s="61"/>
      <c r="W1235" s="61"/>
      <c r="X1235" s="61"/>
      <c r="Y1235" s="61"/>
      <c r="Z1235" s="61"/>
      <c r="AA1235" s="61"/>
      <c r="AB1235" s="61"/>
      <c r="AC1235" s="61"/>
    </row>
    <row r="1236" ht="15.75" customHeight="1">
      <c r="A1236" s="61"/>
      <c r="B1236" s="61"/>
      <c r="C1236" s="61"/>
      <c r="D1236" s="61"/>
      <c r="E1236" s="61"/>
      <c r="F1236" s="61"/>
      <c r="G1236" s="61"/>
      <c r="H1236" s="61"/>
      <c r="I1236" s="61"/>
      <c r="J1236" s="61"/>
      <c r="K1236" s="61"/>
      <c r="L1236" s="61"/>
      <c r="M1236" s="61"/>
      <c r="N1236" s="61"/>
      <c r="O1236" s="61"/>
      <c r="P1236" s="61"/>
      <c r="Q1236" s="61"/>
      <c r="R1236" s="61"/>
      <c r="S1236" s="61"/>
      <c r="T1236" s="61"/>
      <c r="U1236" s="61"/>
      <c r="V1236" s="61"/>
      <c r="W1236" s="61"/>
      <c r="X1236" s="61"/>
      <c r="Y1236" s="61"/>
      <c r="Z1236" s="61"/>
      <c r="AA1236" s="61"/>
      <c r="AB1236" s="61"/>
      <c r="AC1236" s="61"/>
    </row>
    <row r="1237" ht="15.75" customHeight="1">
      <c r="A1237" s="61"/>
      <c r="B1237" s="61"/>
      <c r="C1237" s="61"/>
      <c r="D1237" s="61"/>
      <c r="E1237" s="61"/>
      <c r="F1237" s="61"/>
      <c r="G1237" s="61"/>
      <c r="H1237" s="61"/>
      <c r="I1237" s="61"/>
      <c r="J1237" s="61"/>
      <c r="K1237" s="61"/>
      <c r="L1237" s="61"/>
      <c r="M1237" s="61"/>
      <c r="N1237" s="61"/>
      <c r="O1237" s="61"/>
      <c r="P1237" s="61"/>
      <c r="Q1237" s="61"/>
      <c r="R1237" s="61"/>
      <c r="S1237" s="61"/>
      <c r="T1237" s="61"/>
      <c r="U1237" s="61"/>
      <c r="V1237" s="61"/>
      <c r="W1237" s="61"/>
      <c r="X1237" s="61"/>
      <c r="Y1237" s="61"/>
      <c r="Z1237" s="61"/>
      <c r="AA1237" s="61"/>
      <c r="AB1237" s="61"/>
      <c r="AC1237" s="61"/>
    </row>
    <row r="1238" ht="15.75" customHeight="1">
      <c r="A1238" s="61"/>
      <c r="B1238" s="61"/>
      <c r="C1238" s="61"/>
      <c r="D1238" s="61"/>
      <c r="E1238" s="61"/>
      <c r="F1238" s="61"/>
      <c r="G1238" s="61"/>
      <c r="H1238" s="61"/>
      <c r="I1238" s="61"/>
      <c r="J1238" s="61"/>
      <c r="K1238" s="61"/>
      <c r="L1238" s="61"/>
      <c r="M1238" s="61"/>
      <c r="N1238" s="61"/>
      <c r="O1238" s="61"/>
      <c r="P1238" s="61"/>
      <c r="Q1238" s="61"/>
      <c r="R1238" s="61"/>
      <c r="S1238" s="61"/>
      <c r="T1238" s="61"/>
      <c r="U1238" s="61"/>
      <c r="V1238" s="61"/>
      <c r="W1238" s="61"/>
      <c r="X1238" s="61"/>
      <c r="Y1238" s="61"/>
      <c r="Z1238" s="61"/>
      <c r="AA1238" s="61"/>
      <c r="AB1238" s="61"/>
      <c r="AC1238" s="61"/>
    </row>
    <row r="1239" ht="15.75" customHeight="1">
      <c r="A1239" s="61"/>
      <c r="B1239" s="61"/>
      <c r="C1239" s="61"/>
      <c r="D1239" s="61"/>
      <c r="E1239" s="61"/>
      <c r="F1239" s="61"/>
      <c r="G1239" s="61"/>
      <c r="H1239" s="61"/>
      <c r="I1239" s="61"/>
      <c r="J1239" s="61"/>
      <c r="K1239" s="61"/>
      <c r="L1239" s="61"/>
      <c r="M1239" s="61"/>
      <c r="N1239" s="61"/>
      <c r="O1239" s="61"/>
      <c r="P1239" s="61"/>
      <c r="Q1239" s="61"/>
      <c r="R1239" s="61"/>
      <c r="S1239" s="61"/>
      <c r="T1239" s="61"/>
      <c r="U1239" s="61"/>
      <c r="V1239" s="61"/>
      <c r="W1239" s="61"/>
      <c r="X1239" s="61"/>
      <c r="Y1239" s="61"/>
      <c r="Z1239" s="61"/>
      <c r="AA1239" s="61"/>
      <c r="AB1239" s="61"/>
      <c r="AC1239" s="61"/>
    </row>
    <row r="1240" ht="15.75" customHeight="1">
      <c r="A1240" s="61"/>
      <c r="B1240" s="61"/>
      <c r="C1240" s="61"/>
      <c r="D1240" s="61"/>
      <c r="E1240" s="61"/>
      <c r="F1240" s="61"/>
      <c r="G1240" s="61"/>
      <c r="H1240" s="61"/>
      <c r="I1240" s="61"/>
      <c r="J1240" s="61"/>
      <c r="K1240" s="61"/>
      <c r="L1240" s="61"/>
      <c r="M1240" s="61"/>
      <c r="N1240" s="61"/>
      <c r="O1240" s="61"/>
      <c r="P1240" s="61"/>
      <c r="Q1240" s="61"/>
      <c r="R1240" s="61"/>
      <c r="S1240" s="61"/>
      <c r="T1240" s="61"/>
      <c r="U1240" s="61"/>
      <c r="V1240" s="61"/>
      <c r="W1240" s="61"/>
      <c r="X1240" s="61"/>
      <c r="Y1240" s="61"/>
      <c r="Z1240" s="61"/>
      <c r="AA1240" s="61"/>
      <c r="AB1240" s="61"/>
      <c r="AC1240" s="61"/>
    </row>
    <row r="1241" ht="15.75" customHeight="1">
      <c r="A1241" s="61"/>
      <c r="B1241" s="61"/>
      <c r="C1241" s="61"/>
      <c r="D1241" s="61"/>
      <c r="E1241" s="61"/>
      <c r="F1241" s="61"/>
      <c r="G1241" s="61"/>
      <c r="H1241" s="61"/>
      <c r="I1241" s="61"/>
      <c r="J1241" s="61"/>
      <c r="K1241" s="61"/>
      <c r="L1241" s="61"/>
      <c r="M1241" s="61"/>
      <c r="N1241" s="61"/>
      <c r="O1241" s="61"/>
      <c r="P1241" s="61"/>
      <c r="Q1241" s="61"/>
      <c r="R1241" s="61"/>
      <c r="S1241" s="61"/>
      <c r="T1241" s="61"/>
      <c r="U1241" s="61"/>
      <c r="V1241" s="61"/>
      <c r="W1241" s="61"/>
      <c r="X1241" s="61"/>
      <c r="Y1241" s="61"/>
      <c r="Z1241" s="61"/>
      <c r="AA1241" s="61"/>
      <c r="AB1241" s="61"/>
      <c r="AC1241" s="61"/>
    </row>
    <row r="1242" ht="15.75" customHeight="1">
      <c r="A1242" s="61"/>
      <c r="B1242" s="61"/>
      <c r="C1242" s="61"/>
      <c r="D1242" s="61"/>
      <c r="E1242" s="61"/>
      <c r="F1242" s="61"/>
      <c r="G1242" s="61"/>
      <c r="H1242" s="61"/>
      <c r="I1242" s="61"/>
      <c r="J1242" s="61"/>
      <c r="K1242" s="61"/>
      <c r="L1242" s="61"/>
      <c r="M1242" s="61"/>
      <c r="N1242" s="61"/>
      <c r="O1242" s="61"/>
      <c r="P1242" s="61"/>
      <c r="Q1242" s="61"/>
      <c r="R1242" s="61"/>
      <c r="S1242" s="61"/>
      <c r="T1242" s="61"/>
      <c r="U1242" s="61"/>
      <c r="V1242" s="61"/>
      <c r="W1242" s="61"/>
      <c r="X1242" s="61"/>
      <c r="Y1242" s="61"/>
      <c r="Z1242" s="61"/>
      <c r="AA1242" s="61"/>
      <c r="AB1242" s="61"/>
      <c r="AC1242" s="61"/>
    </row>
    <row r="1243" ht="15.75" customHeight="1">
      <c r="A1243" s="61"/>
      <c r="B1243" s="61"/>
      <c r="C1243" s="61"/>
      <c r="D1243" s="61"/>
      <c r="E1243" s="61"/>
      <c r="F1243" s="61"/>
      <c r="G1243" s="61"/>
      <c r="H1243" s="61"/>
      <c r="I1243" s="61"/>
      <c r="J1243" s="61"/>
      <c r="K1243" s="61"/>
      <c r="L1243" s="61"/>
      <c r="M1243" s="61"/>
      <c r="N1243" s="61"/>
      <c r="O1243" s="61"/>
      <c r="P1243" s="61"/>
      <c r="Q1243" s="61"/>
      <c r="R1243" s="61"/>
      <c r="S1243" s="61"/>
      <c r="T1243" s="61"/>
      <c r="U1243" s="61"/>
      <c r="V1243" s="61"/>
      <c r="W1243" s="61"/>
      <c r="X1243" s="61"/>
      <c r="Y1243" s="61"/>
      <c r="Z1243" s="61"/>
      <c r="AA1243" s="61"/>
      <c r="AB1243" s="61"/>
      <c r="AC1243" s="61"/>
    </row>
    <row r="1244" ht="15.75" customHeight="1">
      <c r="A1244" s="61"/>
      <c r="B1244" s="61"/>
      <c r="C1244" s="61"/>
      <c r="D1244" s="61"/>
      <c r="E1244" s="61"/>
      <c r="F1244" s="61"/>
      <c r="G1244" s="61"/>
      <c r="H1244" s="61"/>
      <c r="I1244" s="61"/>
      <c r="J1244" s="61"/>
      <c r="K1244" s="61"/>
      <c r="L1244" s="61"/>
      <c r="M1244" s="61"/>
      <c r="N1244" s="61"/>
      <c r="O1244" s="61"/>
      <c r="P1244" s="61"/>
      <c r="Q1244" s="61"/>
      <c r="R1244" s="61"/>
      <c r="S1244" s="61"/>
      <c r="T1244" s="61"/>
      <c r="U1244" s="61"/>
      <c r="V1244" s="61"/>
      <c r="W1244" s="61"/>
      <c r="X1244" s="61"/>
      <c r="Y1244" s="61"/>
      <c r="Z1244" s="61"/>
      <c r="AA1244" s="61"/>
      <c r="AB1244" s="61"/>
      <c r="AC1244" s="61"/>
    </row>
    <row r="1245" ht="15.75" customHeight="1">
      <c r="A1245" s="61"/>
      <c r="B1245" s="61"/>
      <c r="C1245" s="61"/>
      <c r="D1245" s="61"/>
      <c r="E1245" s="61"/>
      <c r="F1245" s="61"/>
      <c r="G1245" s="61"/>
      <c r="H1245" s="61"/>
      <c r="I1245" s="61"/>
      <c r="J1245" s="61"/>
      <c r="K1245" s="61"/>
      <c r="L1245" s="61"/>
      <c r="M1245" s="61"/>
      <c r="N1245" s="61"/>
      <c r="O1245" s="61"/>
      <c r="P1245" s="61"/>
      <c r="Q1245" s="61"/>
      <c r="R1245" s="61"/>
      <c r="S1245" s="61"/>
      <c r="T1245" s="61"/>
      <c r="U1245" s="61"/>
      <c r="V1245" s="61"/>
      <c r="W1245" s="61"/>
      <c r="X1245" s="61"/>
      <c r="Y1245" s="61"/>
      <c r="Z1245" s="61"/>
      <c r="AA1245" s="61"/>
      <c r="AB1245" s="61"/>
      <c r="AC1245" s="61"/>
    </row>
    <row r="1246" ht="15.75" customHeight="1">
      <c r="A1246" s="61"/>
      <c r="B1246" s="61"/>
      <c r="C1246" s="61"/>
      <c r="D1246" s="61"/>
      <c r="E1246" s="61"/>
      <c r="F1246" s="61"/>
      <c r="G1246" s="61"/>
      <c r="H1246" s="61"/>
      <c r="I1246" s="61"/>
      <c r="J1246" s="61"/>
      <c r="K1246" s="61"/>
      <c r="L1246" s="61"/>
      <c r="M1246" s="61"/>
      <c r="N1246" s="61"/>
      <c r="O1246" s="61"/>
      <c r="P1246" s="61"/>
      <c r="Q1246" s="61"/>
      <c r="R1246" s="61"/>
      <c r="S1246" s="61"/>
      <c r="T1246" s="61"/>
      <c r="U1246" s="61"/>
      <c r="V1246" s="61"/>
      <c r="W1246" s="61"/>
      <c r="X1246" s="61"/>
      <c r="Y1246" s="61"/>
      <c r="Z1246" s="61"/>
      <c r="AA1246" s="61"/>
      <c r="AB1246" s="61"/>
      <c r="AC1246" s="61"/>
    </row>
    <row r="1247" ht="15.75" customHeight="1">
      <c r="A1247" s="61"/>
      <c r="B1247" s="61"/>
      <c r="C1247" s="61"/>
      <c r="D1247" s="61"/>
      <c r="E1247" s="61"/>
      <c r="F1247" s="61"/>
      <c r="G1247" s="61"/>
      <c r="H1247" s="61"/>
      <c r="I1247" s="61"/>
      <c r="J1247" s="61"/>
      <c r="K1247" s="61"/>
      <c r="L1247" s="61"/>
      <c r="M1247" s="61"/>
      <c r="N1247" s="61"/>
      <c r="O1247" s="61"/>
      <c r="P1247" s="61"/>
      <c r="Q1247" s="61"/>
      <c r="R1247" s="61"/>
      <c r="S1247" s="61"/>
      <c r="T1247" s="61"/>
      <c r="U1247" s="61"/>
      <c r="V1247" s="61"/>
      <c r="W1247" s="61"/>
      <c r="X1247" s="61"/>
      <c r="Y1247" s="61"/>
      <c r="Z1247" s="61"/>
      <c r="AA1247" s="61"/>
      <c r="AB1247" s="61"/>
      <c r="AC1247" s="61"/>
    </row>
    <row r="1248" ht="15.75" customHeight="1">
      <c r="A1248" s="61"/>
      <c r="B1248" s="61"/>
      <c r="C1248" s="61"/>
      <c r="D1248" s="61"/>
      <c r="E1248" s="61"/>
      <c r="F1248" s="61"/>
      <c r="G1248" s="61"/>
      <c r="H1248" s="61"/>
      <c r="I1248" s="61"/>
      <c r="J1248" s="61"/>
      <c r="K1248" s="61"/>
      <c r="L1248" s="61"/>
      <c r="M1248" s="61"/>
      <c r="N1248" s="61"/>
      <c r="O1248" s="61"/>
      <c r="P1248" s="61"/>
      <c r="Q1248" s="61"/>
      <c r="R1248" s="61"/>
      <c r="S1248" s="61"/>
      <c r="T1248" s="61"/>
      <c r="U1248" s="61"/>
      <c r="V1248" s="61"/>
      <c r="W1248" s="61"/>
      <c r="X1248" s="61"/>
      <c r="Y1248" s="61"/>
      <c r="Z1248" s="61"/>
      <c r="AA1248" s="61"/>
      <c r="AB1248" s="61"/>
      <c r="AC1248" s="61"/>
    </row>
    <row r="1249" ht="15.75" customHeight="1">
      <c r="A1249" s="61"/>
      <c r="B1249" s="61"/>
      <c r="C1249" s="61"/>
      <c r="D1249" s="61"/>
      <c r="E1249" s="61"/>
      <c r="F1249" s="61"/>
      <c r="G1249" s="61"/>
      <c r="H1249" s="61"/>
      <c r="I1249" s="61"/>
      <c r="J1249" s="61"/>
      <c r="K1249" s="61"/>
      <c r="L1249" s="61"/>
      <c r="M1249" s="61"/>
      <c r="N1249" s="61"/>
      <c r="O1249" s="61"/>
      <c r="P1249" s="61"/>
      <c r="Q1249" s="61"/>
      <c r="R1249" s="61"/>
      <c r="S1249" s="61"/>
      <c r="T1249" s="61"/>
      <c r="U1249" s="61"/>
      <c r="V1249" s="61"/>
      <c r="W1249" s="61"/>
      <c r="X1249" s="61"/>
      <c r="Y1249" s="61"/>
      <c r="Z1249" s="61"/>
      <c r="AA1249" s="61"/>
      <c r="AB1249" s="61"/>
      <c r="AC1249" s="61"/>
    </row>
    <row r="1250" ht="15.75" customHeight="1">
      <c r="A1250" s="61"/>
      <c r="B1250" s="61"/>
      <c r="C1250" s="61"/>
      <c r="D1250" s="61"/>
      <c r="E1250" s="61"/>
      <c r="F1250" s="61"/>
      <c r="G1250" s="61"/>
      <c r="H1250" s="61"/>
      <c r="I1250" s="61"/>
      <c r="J1250" s="61"/>
      <c r="K1250" s="61"/>
      <c r="L1250" s="61"/>
      <c r="M1250" s="61"/>
      <c r="N1250" s="61"/>
      <c r="O1250" s="61"/>
      <c r="P1250" s="61"/>
      <c r="Q1250" s="61"/>
      <c r="R1250" s="61"/>
      <c r="S1250" s="61"/>
      <c r="T1250" s="61"/>
      <c r="U1250" s="61"/>
      <c r="V1250" s="61"/>
      <c r="W1250" s="61"/>
      <c r="X1250" s="61"/>
      <c r="Y1250" s="61"/>
      <c r="Z1250" s="61"/>
      <c r="AA1250" s="61"/>
      <c r="AB1250" s="61"/>
      <c r="AC1250" s="61"/>
    </row>
    <row r="1251" ht="15.75" customHeight="1">
      <c r="A1251" s="61"/>
      <c r="B1251" s="61"/>
      <c r="C1251" s="61"/>
      <c r="D1251" s="61"/>
      <c r="E1251" s="61"/>
      <c r="F1251" s="61"/>
      <c r="G1251" s="61"/>
      <c r="H1251" s="61"/>
      <c r="I1251" s="61"/>
      <c r="J1251" s="61"/>
      <c r="K1251" s="61"/>
      <c r="L1251" s="61"/>
      <c r="M1251" s="61"/>
      <c r="N1251" s="61"/>
      <c r="O1251" s="61"/>
      <c r="P1251" s="61"/>
      <c r="Q1251" s="61"/>
      <c r="R1251" s="61"/>
      <c r="S1251" s="61"/>
      <c r="T1251" s="61"/>
      <c r="U1251" s="61"/>
      <c r="V1251" s="61"/>
      <c r="W1251" s="61"/>
      <c r="X1251" s="61"/>
      <c r="Y1251" s="61"/>
      <c r="Z1251" s="61"/>
      <c r="AA1251" s="61"/>
      <c r="AB1251" s="61"/>
      <c r="AC1251" s="61"/>
    </row>
    <row r="1252" ht="15.75" customHeight="1">
      <c r="A1252" s="61"/>
      <c r="B1252" s="61"/>
      <c r="C1252" s="61"/>
      <c r="D1252" s="61"/>
      <c r="E1252" s="61"/>
      <c r="F1252" s="61"/>
      <c r="G1252" s="61"/>
      <c r="H1252" s="61"/>
      <c r="I1252" s="61"/>
      <c r="J1252" s="61"/>
      <c r="K1252" s="61"/>
      <c r="L1252" s="61"/>
      <c r="M1252" s="61"/>
      <c r="N1252" s="61"/>
      <c r="O1252" s="61"/>
      <c r="P1252" s="61"/>
      <c r="Q1252" s="61"/>
      <c r="R1252" s="61"/>
      <c r="S1252" s="61"/>
      <c r="T1252" s="61"/>
      <c r="U1252" s="61"/>
      <c r="V1252" s="61"/>
      <c r="W1252" s="61"/>
      <c r="X1252" s="61"/>
      <c r="Y1252" s="61"/>
      <c r="Z1252" s="61"/>
      <c r="AA1252" s="61"/>
      <c r="AB1252" s="61"/>
      <c r="AC1252" s="61"/>
    </row>
    <row r="1253" ht="15.75" customHeight="1">
      <c r="A1253" s="61"/>
      <c r="B1253" s="61"/>
      <c r="C1253" s="61"/>
      <c r="D1253" s="61"/>
      <c r="E1253" s="61"/>
      <c r="F1253" s="61"/>
      <c r="G1253" s="61"/>
      <c r="H1253" s="61"/>
      <c r="I1253" s="61"/>
      <c r="J1253" s="61"/>
      <c r="K1253" s="61"/>
      <c r="L1253" s="61"/>
      <c r="M1253" s="61"/>
      <c r="N1253" s="61"/>
      <c r="O1253" s="61"/>
      <c r="P1253" s="61"/>
      <c r="Q1253" s="61"/>
      <c r="R1253" s="61"/>
      <c r="S1253" s="61"/>
      <c r="T1253" s="61"/>
      <c r="U1253" s="61"/>
      <c r="V1253" s="61"/>
      <c r="W1253" s="61"/>
      <c r="X1253" s="61"/>
      <c r="Y1253" s="61"/>
      <c r="Z1253" s="61"/>
      <c r="AA1253" s="61"/>
      <c r="AB1253" s="61"/>
      <c r="AC1253" s="61"/>
    </row>
    <row r="1254" ht="15.75" customHeight="1">
      <c r="A1254" s="61"/>
      <c r="B1254" s="61"/>
      <c r="C1254" s="61"/>
      <c r="D1254" s="61"/>
      <c r="E1254" s="61"/>
      <c r="F1254" s="61"/>
      <c r="G1254" s="61"/>
      <c r="H1254" s="61"/>
      <c r="I1254" s="61"/>
      <c r="J1254" s="61"/>
      <c r="K1254" s="61"/>
      <c r="L1254" s="61"/>
      <c r="M1254" s="61"/>
      <c r="N1254" s="61"/>
      <c r="O1254" s="61"/>
      <c r="P1254" s="61"/>
      <c r="Q1254" s="61"/>
      <c r="R1254" s="61"/>
      <c r="S1254" s="61"/>
      <c r="T1254" s="61"/>
      <c r="U1254" s="61"/>
      <c r="V1254" s="61"/>
      <c r="W1254" s="61"/>
      <c r="X1254" s="61"/>
      <c r="Y1254" s="61"/>
      <c r="Z1254" s="61"/>
      <c r="AA1254" s="61"/>
      <c r="AB1254" s="61"/>
      <c r="AC1254" s="61"/>
    </row>
    <row r="1255" ht="15.75" customHeight="1">
      <c r="A1255" s="61"/>
      <c r="B1255" s="61"/>
      <c r="C1255" s="61"/>
      <c r="D1255" s="61"/>
      <c r="E1255" s="61"/>
      <c r="F1255" s="61"/>
      <c r="G1255" s="61"/>
      <c r="H1255" s="61"/>
      <c r="I1255" s="61"/>
      <c r="J1255" s="61"/>
      <c r="K1255" s="61"/>
      <c r="L1255" s="61"/>
      <c r="M1255" s="61"/>
      <c r="N1255" s="61"/>
      <c r="O1255" s="61"/>
      <c r="P1255" s="61"/>
      <c r="Q1255" s="61"/>
      <c r="R1255" s="61"/>
      <c r="S1255" s="61"/>
      <c r="T1255" s="61"/>
      <c r="U1255" s="61"/>
      <c r="V1255" s="61"/>
      <c r="W1255" s="61"/>
      <c r="X1255" s="61"/>
      <c r="Y1255" s="61"/>
      <c r="Z1255" s="61"/>
      <c r="AA1255" s="61"/>
      <c r="AB1255" s="61"/>
      <c r="AC1255" s="61"/>
    </row>
    <row r="1256" ht="15.75" customHeight="1">
      <c r="A1256" s="61"/>
      <c r="B1256" s="61"/>
      <c r="C1256" s="61"/>
      <c r="D1256" s="61"/>
      <c r="E1256" s="61"/>
      <c r="F1256" s="61"/>
      <c r="G1256" s="61"/>
      <c r="H1256" s="61"/>
      <c r="I1256" s="61"/>
      <c r="J1256" s="61"/>
      <c r="K1256" s="61"/>
      <c r="L1256" s="61"/>
      <c r="M1256" s="61"/>
      <c r="N1256" s="61"/>
      <c r="O1256" s="61"/>
      <c r="P1256" s="61"/>
      <c r="Q1256" s="61"/>
      <c r="R1256" s="61"/>
      <c r="S1256" s="61"/>
      <c r="T1256" s="61"/>
      <c r="U1256" s="61"/>
      <c r="V1256" s="61"/>
      <c r="W1256" s="61"/>
      <c r="X1256" s="61"/>
      <c r="Y1256" s="61"/>
      <c r="Z1256" s="61"/>
      <c r="AA1256" s="61"/>
      <c r="AB1256" s="61"/>
      <c r="AC1256" s="61"/>
    </row>
    <row r="1257" ht="15.75" customHeight="1">
      <c r="A1257" s="61"/>
      <c r="B1257" s="61"/>
      <c r="C1257" s="61"/>
      <c r="D1257" s="61"/>
      <c r="E1257" s="61"/>
      <c r="F1257" s="61"/>
      <c r="G1257" s="61"/>
      <c r="H1257" s="61"/>
      <c r="I1257" s="61"/>
      <c r="J1257" s="61"/>
      <c r="K1257" s="61"/>
      <c r="L1257" s="61"/>
      <c r="M1257" s="61"/>
      <c r="N1257" s="61"/>
      <c r="O1257" s="61"/>
      <c r="P1257" s="61"/>
      <c r="Q1257" s="61"/>
      <c r="R1257" s="61"/>
      <c r="S1257" s="61"/>
      <c r="T1257" s="61"/>
      <c r="U1257" s="61"/>
      <c r="V1257" s="61"/>
      <c r="W1257" s="61"/>
      <c r="X1257" s="61"/>
      <c r="Y1257" s="61"/>
      <c r="Z1257" s="61"/>
      <c r="AA1257" s="61"/>
      <c r="AB1257" s="61"/>
      <c r="AC1257" s="61"/>
    </row>
    <row r="1258" ht="15.75" customHeight="1">
      <c r="A1258" s="61"/>
      <c r="B1258" s="61"/>
      <c r="C1258" s="61"/>
      <c r="D1258" s="61"/>
      <c r="E1258" s="61"/>
      <c r="F1258" s="61"/>
      <c r="G1258" s="61"/>
      <c r="H1258" s="61"/>
      <c r="I1258" s="61"/>
      <c r="J1258" s="61"/>
      <c r="K1258" s="61"/>
      <c r="L1258" s="61"/>
      <c r="M1258" s="61"/>
      <c r="N1258" s="61"/>
      <c r="O1258" s="61"/>
      <c r="P1258" s="61"/>
      <c r="Q1258" s="61"/>
      <c r="R1258" s="61"/>
      <c r="S1258" s="61"/>
      <c r="T1258" s="61"/>
      <c r="U1258" s="61"/>
      <c r="V1258" s="61"/>
      <c r="W1258" s="61"/>
      <c r="X1258" s="61"/>
      <c r="Y1258" s="61"/>
      <c r="Z1258" s="61"/>
      <c r="AA1258" s="61"/>
      <c r="AB1258" s="61"/>
      <c r="AC1258" s="61"/>
    </row>
    <row r="1259" ht="15.75" customHeight="1">
      <c r="A1259" s="61"/>
      <c r="B1259" s="61"/>
      <c r="C1259" s="61"/>
      <c r="D1259" s="61"/>
      <c r="E1259" s="61"/>
      <c r="F1259" s="61"/>
      <c r="G1259" s="61"/>
      <c r="H1259" s="61"/>
      <c r="I1259" s="61"/>
      <c r="J1259" s="61"/>
      <c r="K1259" s="61"/>
      <c r="L1259" s="61"/>
      <c r="M1259" s="61"/>
      <c r="N1259" s="61"/>
      <c r="O1259" s="61"/>
      <c r="P1259" s="61"/>
      <c r="Q1259" s="61"/>
      <c r="R1259" s="61"/>
      <c r="S1259" s="61"/>
      <c r="T1259" s="61"/>
      <c r="U1259" s="61"/>
      <c r="V1259" s="61"/>
      <c r="W1259" s="61"/>
      <c r="X1259" s="61"/>
      <c r="Y1259" s="61"/>
      <c r="Z1259" s="61"/>
      <c r="AA1259" s="61"/>
      <c r="AB1259" s="61"/>
      <c r="AC1259" s="61"/>
    </row>
    <row r="1260" ht="15.75" customHeight="1">
      <c r="A1260" s="61"/>
      <c r="B1260" s="61"/>
      <c r="C1260" s="61"/>
      <c r="D1260" s="61"/>
      <c r="E1260" s="61"/>
      <c r="F1260" s="61"/>
      <c r="G1260" s="61"/>
      <c r="H1260" s="61"/>
      <c r="I1260" s="61"/>
      <c r="J1260" s="61"/>
      <c r="K1260" s="61"/>
      <c r="L1260" s="61"/>
      <c r="M1260" s="61"/>
      <c r="N1260" s="61"/>
      <c r="O1260" s="61"/>
      <c r="P1260" s="61"/>
      <c r="Q1260" s="61"/>
      <c r="R1260" s="61"/>
      <c r="S1260" s="61"/>
      <c r="T1260" s="61"/>
      <c r="U1260" s="61"/>
      <c r="V1260" s="61"/>
      <c r="W1260" s="61"/>
      <c r="X1260" s="61"/>
      <c r="Y1260" s="61"/>
      <c r="Z1260" s="61"/>
      <c r="AA1260" s="61"/>
      <c r="AB1260" s="61"/>
      <c r="AC1260" s="61"/>
    </row>
    <row r="1261" ht="15.75" customHeight="1">
      <c r="A1261" s="61"/>
      <c r="B1261" s="61"/>
      <c r="C1261" s="61"/>
      <c r="D1261" s="61"/>
      <c r="E1261" s="61"/>
      <c r="F1261" s="61"/>
      <c r="G1261" s="61"/>
      <c r="H1261" s="61"/>
      <c r="I1261" s="61"/>
      <c r="J1261" s="61"/>
      <c r="K1261" s="61"/>
      <c r="L1261" s="61"/>
      <c r="M1261" s="61"/>
      <c r="N1261" s="61"/>
      <c r="O1261" s="61"/>
      <c r="P1261" s="61"/>
      <c r="Q1261" s="61"/>
      <c r="R1261" s="61"/>
      <c r="S1261" s="61"/>
      <c r="T1261" s="61"/>
      <c r="U1261" s="61"/>
      <c r="V1261" s="61"/>
      <c r="W1261" s="61"/>
      <c r="X1261" s="61"/>
      <c r="Y1261" s="61"/>
      <c r="Z1261" s="61"/>
      <c r="AA1261" s="61"/>
      <c r="AB1261" s="61"/>
      <c r="AC1261" s="61"/>
    </row>
    <row r="1262" ht="15.75" customHeight="1">
      <c r="A1262" s="61"/>
      <c r="B1262" s="61"/>
      <c r="C1262" s="61"/>
      <c r="D1262" s="61"/>
      <c r="E1262" s="61"/>
      <c r="F1262" s="61"/>
      <c r="G1262" s="61"/>
      <c r="H1262" s="61"/>
      <c r="I1262" s="61"/>
      <c r="J1262" s="61"/>
      <c r="K1262" s="61"/>
      <c r="L1262" s="61"/>
      <c r="M1262" s="61"/>
      <c r="N1262" s="61"/>
      <c r="O1262" s="61"/>
      <c r="P1262" s="61"/>
      <c r="Q1262" s="61"/>
      <c r="R1262" s="61"/>
      <c r="S1262" s="61"/>
      <c r="T1262" s="61"/>
      <c r="U1262" s="61"/>
      <c r="V1262" s="61"/>
      <c r="W1262" s="61"/>
      <c r="X1262" s="61"/>
      <c r="Y1262" s="61"/>
      <c r="Z1262" s="61"/>
      <c r="AA1262" s="61"/>
      <c r="AB1262" s="61"/>
      <c r="AC1262" s="61"/>
    </row>
    <row r="1263" ht="15.75" customHeight="1">
      <c r="A1263" s="61"/>
      <c r="B1263" s="61"/>
      <c r="C1263" s="61"/>
      <c r="D1263" s="61"/>
      <c r="E1263" s="61"/>
      <c r="F1263" s="61"/>
      <c r="G1263" s="61"/>
      <c r="H1263" s="61"/>
      <c r="I1263" s="61"/>
      <c r="J1263" s="61"/>
      <c r="K1263" s="61"/>
      <c r="L1263" s="61"/>
      <c r="M1263" s="61"/>
      <c r="N1263" s="61"/>
      <c r="O1263" s="61"/>
      <c r="P1263" s="61"/>
      <c r="Q1263" s="61"/>
      <c r="R1263" s="61"/>
      <c r="S1263" s="61"/>
      <c r="T1263" s="61"/>
      <c r="U1263" s="61"/>
      <c r="V1263" s="61"/>
      <c r="W1263" s="61"/>
      <c r="X1263" s="61"/>
      <c r="Y1263" s="61"/>
      <c r="Z1263" s="61"/>
      <c r="AA1263" s="61"/>
      <c r="AB1263" s="61"/>
      <c r="AC1263" s="61"/>
    </row>
    <row r="1264" ht="15.75" customHeight="1">
      <c r="A1264" s="61"/>
      <c r="B1264" s="61"/>
      <c r="C1264" s="61"/>
      <c r="D1264" s="61"/>
      <c r="E1264" s="61"/>
      <c r="F1264" s="61"/>
      <c r="G1264" s="61"/>
      <c r="H1264" s="61"/>
      <c r="I1264" s="61"/>
      <c r="J1264" s="61"/>
      <c r="K1264" s="61"/>
      <c r="L1264" s="61"/>
      <c r="M1264" s="61"/>
      <c r="N1264" s="61"/>
      <c r="O1264" s="61"/>
      <c r="P1264" s="61"/>
      <c r="Q1264" s="61"/>
      <c r="R1264" s="61"/>
      <c r="S1264" s="61"/>
      <c r="T1264" s="61"/>
      <c r="U1264" s="61"/>
      <c r="V1264" s="61"/>
      <c r="W1264" s="61"/>
      <c r="X1264" s="61"/>
      <c r="Y1264" s="61"/>
      <c r="Z1264" s="61"/>
      <c r="AA1264" s="61"/>
      <c r="AB1264" s="61"/>
      <c r="AC1264" s="61"/>
    </row>
    <row r="1265" ht="15.75" customHeight="1">
      <c r="A1265" s="61"/>
      <c r="B1265" s="61"/>
      <c r="C1265" s="61"/>
      <c r="D1265" s="61"/>
      <c r="E1265" s="61"/>
      <c r="F1265" s="61"/>
      <c r="G1265" s="61"/>
      <c r="H1265" s="61"/>
      <c r="I1265" s="61"/>
      <c r="J1265" s="61"/>
      <c r="K1265" s="61"/>
      <c r="L1265" s="61"/>
      <c r="M1265" s="61"/>
      <c r="N1265" s="61"/>
      <c r="O1265" s="61"/>
      <c r="P1265" s="61"/>
      <c r="Q1265" s="61"/>
      <c r="R1265" s="61"/>
      <c r="S1265" s="61"/>
      <c r="T1265" s="61"/>
      <c r="U1265" s="61"/>
      <c r="V1265" s="61"/>
      <c r="W1265" s="61"/>
      <c r="X1265" s="61"/>
      <c r="Y1265" s="61"/>
      <c r="Z1265" s="61"/>
      <c r="AA1265" s="61"/>
      <c r="AB1265" s="61"/>
      <c r="AC1265" s="61"/>
    </row>
    <row r="1266" ht="15.75" customHeight="1">
      <c r="A1266" s="61"/>
      <c r="B1266" s="61"/>
      <c r="C1266" s="61"/>
      <c r="D1266" s="61"/>
      <c r="E1266" s="61"/>
      <c r="F1266" s="61"/>
      <c r="G1266" s="61"/>
      <c r="H1266" s="61"/>
      <c r="I1266" s="61"/>
      <c r="J1266" s="61"/>
      <c r="K1266" s="61"/>
      <c r="L1266" s="61"/>
      <c r="M1266" s="61"/>
      <c r="N1266" s="61"/>
      <c r="O1266" s="61"/>
      <c r="P1266" s="61"/>
      <c r="Q1266" s="61"/>
      <c r="R1266" s="61"/>
      <c r="S1266" s="61"/>
      <c r="T1266" s="61"/>
      <c r="U1266" s="61"/>
      <c r="V1266" s="61"/>
      <c r="W1266" s="61"/>
      <c r="X1266" s="61"/>
      <c r="Y1266" s="61"/>
      <c r="Z1266" s="61"/>
      <c r="AA1266" s="61"/>
      <c r="AB1266" s="61"/>
      <c r="AC1266" s="61"/>
    </row>
    <row r="1267" ht="15.75" customHeight="1">
      <c r="A1267" s="61"/>
      <c r="B1267" s="61"/>
      <c r="C1267" s="61"/>
      <c r="D1267" s="61"/>
      <c r="E1267" s="61"/>
      <c r="F1267" s="61"/>
      <c r="G1267" s="61"/>
      <c r="H1267" s="61"/>
      <c r="I1267" s="61"/>
      <c r="J1267" s="61"/>
      <c r="K1267" s="61"/>
      <c r="L1267" s="61"/>
      <c r="M1267" s="61"/>
      <c r="N1267" s="61"/>
      <c r="O1267" s="61"/>
      <c r="P1267" s="61"/>
      <c r="Q1267" s="61"/>
      <c r="R1267" s="61"/>
      <c r="S1267" s="61"/>
      <c r="T1267" s="61"/>
      <c r="U1267" s="61"/>
      <c r="V1267" s="61"/>
      <c r="W1267" s="61"/>
      <c r="X1267" s="61"/>
      <c r="Y1267" s="61"/>
      <c r="Z1267" s="61"/>
      <c r="AA1267" s="61"/>
      <c r="AB1267" s="61"/>
      <c r="AC1267" s="61"/>
    </row>
    <row r="1268" ht="15.75" customHeight="1">
      <c r="A1268" s="61"/>
      <c r="B1268" s="61"/>
      <c r="C1268" s="61"/>
      <c r="D1268" s="61"/>
      <c r="E1268" s="61"/>
      <c r="F1268" s="61"/>
      <c r="G1268" s="61"/>
      <c r="H1268" s="61"/>
      <c r="I1268" s="61"/>
      <c r="J1268" s="61"/>
      <c r="K1268" s="61"/>
      <c r="L1268" s="61"/>
      <c r="M1268" s="61"/>
      <c r="N1268" s="61"/>
      <c r="O1268" s="61"/>
      <c r="P1268" s="61"/>
      <c r="Q1268" s="61"/>
      <c r="R1268" s="61"/>
      <c r="S1268" s="61"/>
      <c r="T1268" s="61"/>
      <c r="U1268" s="61"/>
      <c r="V1268" s="61"/>
      <c r="W1268" s="61"/>
      <c r="X1268" s="61"/>
      <c r="Y1268" s="61"/>
      <c r="Z1268" s="61"/>
      <c r="AA1268" s="61"/>
      <c r="AB1268" s="61"/>
      <c r="AC1268" s="61"/>
    </row>
    <row r="1269" ht="15.75" customHeight="1">
      <c r="A1269" s="61"/>
      <c r="B1269" s="61"/>
      <c r="C1269" s="61"/>
      <c r="D1269" s="61"/>
      <c r="E1269" s="61"/>
      <c r="F1269" s="61"/>
      <c r="G1269" s="61"/>
      <c r="H1269" s="61"/>
      <c r="I1269" s="61"/>
      <c r="J1269" s="61"/>
      <c r="K1269" s="61"/>
      <c r="L1269" s="61"/>
      <c r="M1269" s="61"/>
      <c r="N1269" s="61"/>
      <c r="O1269" s="61"/>
      <c r="P1269" s="61"/>
      <c r="Q1269" s="61"/>
      <c r="R1269" s="61"/>
      <c r="S1269" s="61"/>
      <c r="T1269" s="61"/>
      <c r="U1269" s="61"/>
      <c r="V1269" s="61"/>
      <c r="W1269" s="61"/>
      <c r="X1269" s="61"/>
      <c r="Y1269" s="61"/>
      <c r="Z1269" s="61"/>
      <c r="AA1269" s="61"/>
      <c r="AB1269" s="61"/>
      <c r="AC1269" s="61"/>
    </row>
    <row r="1270" ht="15.75" customHeight="1">
      <c r="A1270" s="61"/>
      <c r="B1270" s="61"/>
      <c r="C1270" s="61"/>
      <c r="D1270" s="61"/>
      <c r="E1270" s="61"/>
      <c r="F1270" s="61"/>
      <c r="G1270" s="61"/>
      <c r="H1270" s="61"/>
      <c r="I1270" s="61"/>
      <c r="J1270" s="61"/>
      <c r="K1270" s="61"/>
      <c r="L1270" s="61"/>
      <c r="M1270" s="61"/>
      <c r="N1270" s="61"/>
      <c r="O1270" s="61"/>
      <c r="P1270" s="61"/>
      <c r="Q1270" s="61"/>
      <c r="R1270" s="61"/>
      <c r="S1270" s="61"/>
      <c r="T1270" s="61"/>
      <c r="U1270" s="61"/>
      <c r="V1270" s="61"/>
      <c r="W1270" s="61"/>
      <c r="X1270" s="61"/>
      <c r="Y1270" s="61"/>
      <c r="Z1270" s="61"/>
      <c r="AA1270" s="61"/>
      <c r="AB1270" s="61"/>
      <c r="AC1270" s="61"/>
    </row>
    <row r="1271" ht="15.75" customHeight="1">
      <c r="A1271" s="61"/>
      <c r="B1271" s="61"/>
      <c r="C1271" s="61"/>
      <c r="D1271" s="61"/>
      <c r="E1271" s="61"/>
      <c r="F1271" s="61"/>
      <c r="G1271" s="61"/>
      <c r="H1271" s="61"/>
      <c r="I1271" s="61"/>
      <c r="J1271" s="61"/>
      <c r="K1271" s="61"/>
      <c r="L1271" s="61"/>
      <c r="M1271" s="61"/>
      <c r="N1271" s="61"/>
      <c r="O1271" s="61"/>
      <c r="P1271" s="61"/>
      <c r="Q1271" s="61"/>
      <c r="R1271" s="61"/>
      <c r="S1271" s="61"/>
      <c r="T1271" s="61"/>
      <c r="U1271" s="61"/>
      <c r="V1271" s="61"/>
      <c r="W1271" s="61"/>
      <c r="X1271" s="61"/>
      <c r="Y1271" s="61"/>
      <c r="Z1271" s="61"/>
      <c r="AA1271" s="61"/>
      <c r="AB1271" s="61"/>
      <c r="AC1271" s="61"/>
    </row>
    <row r="1272" ht="15.75" customHeight="1">
      <c r="A1272" s="61"/>
      <c r="B1272" s="61"/>
      <c r="C1272" s="61"/>
      <c r="D1272" s="61"/>
      <c r="E1272" s="61"/>
      <c r="F1272" s="61"/>
      <c r="G1272" s="61"/>
      <c r="H1272" s="61"/>
      <c r="I1272" s="61"/>
      <c r="J1272" s="61"/>
      <c r="K1272" s="61"/>
      <c r="L1272" s="61"/>
      <c r="M1272" s="61"/>
      <c r="N1272" s="61"/>
      <c r="O1272" s="61"/>
      <c r="P1272" s="61"/>
      <c r="Q1272" s="61"/>
      <c r="R1272" s="61"/>
      <c r="S1272" s="61"/>
      <c r="T1272" s="61"/>
      <c r="U1272" s="61"/>
      <c r="V1272" s="61"/>
      <c r="W1272" s="61"/>
      <c r="X1272" s="61"/>
      <c r="Y1272" s="61"/>
      <c r="Z1272" s="61"/>
      <c r="AA1272" s="61"/>
      <c r="AB1272" s="61"/>
      <c r="AC1272" s="61"/>
    </row>
    <row r="1273" ht="15.75" customHeight="1">
      <c r="A1273" s="61"/>
      <c r="B1273" s="61"/>
      <c r="C1273" s="61"/>
      <c r="D1273" s="61"/>
      <c r="E1273" s="61"/>
      <c r="F1273" s="61"/>
      <c r="G1273" s="61"/>
      <c r="H1273" s="61"/>
      <c r="I1273" s="61"/>
      <c r="J1273" s="61"/>
      <c r="K1273" s="61"/>
      <c r="L1273" s="61"/>
      <c r="M1273" s="61"/>
      <c r="N1273" s="61"/>
      <c r="O1273" s="61"/>
      <c r="P1273" s="61"/>
      <c r="Q1273" s="61"/>
      <c r="R1273" s="61"/>
      <c r="S1273" s="61"/>
      <c r="T1273" s="61"/>
      <c r="U1273" s="61"/>
      <c r="V1273" s="61"/>
      <c r="W1273" s="61"/>
      <c r="X1273" s="61"/>
      <c r="Y1273" s="61"/>
      <c r="Z1273" s="61"/>
      <c r="AA1273" s="61"/>
      <c r="AB1273" s="61"/>
      <c r="AC1273" s="61"/>
    </row>
    <row r="1274" ht="15.75" customHeight="1">
      <c r="A1274" s="61"/>
      <c r="B1274" s="61"/>
      <c r="C1274" s="61"/>
      <c r="D1274" s="61"/>
      <c r="E1274" s="61"/>
      <c r="F1274" s="61"/>
      <c r="G1274" s="61"/>
      <c r="H1274" s="61"/>
      <c r="I1274" s="61"/>
      <c r="J1274" s="61"/>
      <c r="K1274" s="61"/>
      <c r="L1274" s="61"/>
      <c r="M1274" s="61"/>
      <c r="N1274" s="61"/>
      <c r="O1274" s="61"/>
      <c r="P1274" s="61"/>
      <c r="Q1274" s="61"/>
      <c r="R1274" s="61"/>
      <c r="S1274" s="61"/>
      <c r="T1274" s="61"/>
      <c r="U1274" s="61"/>
      <c r="V1274" s="61"/>
      <c r="W1274" s="61"/>
      <c r="X1274" s="61"/>
      <c r="Y1274" s="61"/>
      <c r="Z1274" s="61"/>
      <c r="AA1274" s="61"/>
      <c r="AB1274" s="61"/>
      <c r="AC1274" s="61"/>
    </row>
    <row r="1275" ht="15.75" customHeight="1">
      <c r="A1275" s="61"/>
      <c r="B1275" s="61"/>
      <c r="C1275" s="61"/>
      <c r="D1275" s="61"/>
      <c r="E1275" s="61"/>
      <c r="F1275" s="61"/>
      <c r="G1275" s="61"/>
      <c r="H1275" s="61"/>
      <c r="I1275" s="61"/>
      <c r="J1275" s="61"/>
      <c r="K1275" s="61"/>
      <c r="L1275" s="61"/>
      <c r="M1275" s="61"/>
      <c r="N1275" s="61"/>
      <c r="O1275" s="61"/>
      <c r="P1275" s="61"/>
      <c r="Q1275" s="61"/>
      <c r="R1275" s="61"/>
      <c r="S1275" s="61"/>
      <c r="T1275" s="61"/>
      <c r="U1275" s="61"/>
      <c r="V1275" s="61"/>
      <c r="W1275" s="61"/>
      <c r="X1275" s="61"/>
      <c r="Y1275" s="61"/>
      <c r="Z1275" s="61"/>
      <c r="AA1275" s="61"/>
      <c r="AB1275" s="61"/>
      <c r="AC1275" s="61"/>
    </row>
    <row r="1276" ht="15.75" customHeight="1">
      <c r="A1276" s="61"/>
      <c r="B1276" s="61"/>
      <c r="C1276" s="61"/>
      <c r="D1276" s="61"/>
      <c r="E1276" s="61"/>
      <c r="F1276" s="61"/>
      <c r="G1276" s="61"/>
      <c r="H1276" s="61"/>
      <c r="I1276" s="61"/>
      <c r="J1276" s="61"/>
      <c r="K1276" s="61"/>
      <c r="L1276" s="61"/>
      <c r="M1276" s="61"/>
      <c r="N1276" s="61"/>
      <c r="O1276" s="61"/>
      <c r="P1276" s="61"/>
      <c r="Q1276" s="61"/>
      <c r="R1276" s="61"/>
      <c r="S1276" s="61"/>
      <c r="T1276" s="61"/>
      <c r="U1276" s="61"/>
      <c r="V1276" s="61"/>
      <c r="W1276" s="61"/>
      <c r="X1276" s="61"/>
      <c r="Y1276" s="61"/>
      <c r="Z1276" s="61"/>
      <c r="AA1276" s="61"/>
      <c r="AB1276" s="61"/>
      <c r="AC1276" s="61"/>
    </row>
    <row r="1277" ht="15.75" customHeight="1">
      <c r="A1277" s="61"/>
      <c r="B1277" s="61"/>
      <c r="C1277" s="61"/>
      <c r="D1277" s="61"/>
      <c r="E1277" s="61"/>
      <c r="F1277" s="61"/>
      <c r="G1277" s="61"/>
      <c r="H1277" s="61"/>
      <c r="I1277" s="61"/>
      <c r="J1277" s="61"/>
      <c r="K1277" s="61"/>
      <c r="L1277" s="61"/>
      <c r="M1277" s="61"/>
      <c r="N1277" s="61"/>
      <c r="O1277" s="61"/>
      <c r="P1277" s="61"/>
      <c r="Q1277" s="61"/>
      <c r="R1277" s="61"/>
      <c r="S1277" s="61"/>
      <c r="T1277" s="61"/>
      <c r="U1277" s="61"/>
      <c r="V1277" s="61"/>
      <c r="W1277" s="61"/>
      <c r="X1277" s="61"/>
      <c r="Y1277" s="61"/>
      <c r="Z1277" s="61"/>
      <c r="AA1277" s="61"/>
      <c r="AB1277" s="61"/>
      <c r="AC1277" s="61"/>
    </row>
    <row r="1278" ht="15.75" customHeight="1">
      <c r="A1278" s="61"/>
      <c r="B1278" s="61"/>
      <c r="C1278" s="61"/>
      <c r="D1278" s="61"/>
      <c r="E1278" s="61"/>
      <c r="F1278" s="61"/>
      <c r="G1278" s="61"/>
      <c r="H1278" s="61"/>
      <c r="I1278" s="61"/>
      <c r="J1278" s="61"/>
      <c r="K1278" s="61"/>
      <c r="L1278" s="61"/>
      <c r="M1278" s="61"/>
      <c r="N1278" s="61"/>
      <c r="O1278" s="61"/>
      <c r="P1278" s="61"/>
      <c r="Q1278" s="61"/>
      <c r="R1278" s="61"/>
      <c r="S1278" s="61"/>
      <c r="T1278" s="61"/>
      <c r="U1278" s="61"/>
      <c r="V1278" s="61"/>
      <c r="W1278" s="61"/>
      <c r="X1278" s="61"/>
      <c r="Y1278" s="61"/>
      <c r="Z1278" s="61"/>
      <c r="AA1278" s="61"/>
      <c r="AB1278" s="61"/>
      <c r="AC1278" s="61"/>
    </row>
    <row r="1279" ht="15.75" customHeight="1">
      <c r="A1279" s="61"/>
      <c r="B1279" s="61"/>
      <c r="C1279" s="61"/>
      <c r="D1279" s="61"/>
      <c r="E1279" s="61"/>
      <c r="F1279" s="61"/>
      <c r="G1279" s="61"/>
      <c r="H1279" s="61"/>
      <c r="I1279" s="61"/>
      <c r="J1279" s="61"/>
      <c r="K1279" s="61"/>
      <c r="L1279" s="61"/>
      <c r="M1279" s="61"/>
      <c r="N1279" s="61"/>
      <c r="O1279" s="61"/>
      <c r="P1279" s="61"/>
      <c r="Q1279" s="61"/>
      <c r="R1279" s="61"/>
      <c r="S1279" s="61"/>
      <c r="T1279" s="61"/>
      <c r="U1279" s="61"/>
      <c r="V1279" s="61"/>
      <c r="W1279" s="61"/>
      <c r="X1279" s="61"/>
      <c r="Y1279" s="61"/>
      <c r="Z1279" s="61"/>
      <c r="AA1279" s="61"/>
      <c r="AB1279" s="61"/>
      <c r="AC1279" s="61"/>
    </row>
    <row r="1280" ht="15.75" customHeight="1">
      <c r="A1280" s="61"/>
      <c r="B1280" s="61"/>
      <c r="C1280" s="61"/>
      <c r="D1280" s="61"/>
      <c r="E1280" s="61"/>
      <c r="F1280" s="61"/>
      <c r="G1280" s="61"/>
      <c r="H1280" s="61"/>
      <c r="I1280" s="61"/>
      <c r="J1280" s="61"/>
      <c r="K1280" s="61"/>
      <c r="L1280" s="61"/>
      <c r="M1280" s="61"/>
      <c r="N1280" s="61"/>
      <c r="O1280" s="61"/>
      <c r="P1280" s="61"/>
      <c r="Q1280" s="61"/>
      <c r="R1280" s="61"/>
      <c r="S1280" s="61"/>
      <c r="T1280" s="61"/>
      <c r="U1280" s="61"/>
      <c r="V1280" s="61"/>
      <c r="W1280" s="61"/>
      <c r="X1280" s="61"/>
      <c r="Y1280" s="61"/>
      <c r="Z1280" s="61"/>
      <c r="AA1280" s="61"/>
      <c r="AB1280" s="61"/>
      <c r="AC1280" s="61"/>
    </row>
    <row r="1281" ht="15.75" customHeight="1">
      <c r="A1281" s="61"/>
      <c r="B1281" s="61"/>
      <c r="C1281" s="61"/>
      <c r="D1281" s="61"/>
      <c r="E1281" s="61"/>
      <c r="F1281" s="61"/>
      <c r="G1281" s="61"/>
      <c r="H1281" s="61"/>
      <c r="I1281" s="61"/>
      <c r="J1281" s="61"/>
      <c r="K1281" s="61"/>
      <c r="L1281" s="61"/>
      <c r="M1281" s="61"/>
      <c r="N1281" s="61"/>
      <c r="O1281" s="61"/>
      <c r="P1281" s="61"/>
      <c r="Q1281" s="61"/>
      <c r="R1281" s="61"/>
      <c r="S1281" s="61"/>
      <c r="T1281" s="61"/>
      <c r="U1281" s="61"/>
      <c r="V1281" s="61"/>
      <c r="W1281" s="61"/>
      <c r="X1281" s="61"/>
      <c r="Y1281" s="61"/>
      <c r="Z1281" s="61"/>
      <c r="AA1281" s="61"/>
      <c r="AB1281" s="61"/>
      <c r="AC1281" s="61"/>
    </row>
    <row r="1282" ht="15.75" customHeight="1">
      <c r="A1282" s="61"/>
      <c r="B1282" s="61"/>
      <c r="C1282" s="61"/>
      <c r="D1282" s="61"/>
      <c r="E1282" s="61"/>
      <c r="F1282" s="61"/>
      <c r="G1282" s="61"/>
      <c r="H1282" s="61"/>
      <c r="I1282" s="61"/>
      <c r="J1282" s="61"/>
      <c r="K1282" s="61"/>
      <c r="L1282" s="61"/>
      <c r="M1282" s="61"/>
      <c r="N1282" s="61"/>
      <c r="O1282" s="61"/>
      <c r="P1282" s="61"/>
      <c r="Q1282" s="61"/>
      <c r="R1282" s="61"/>
      <c r="S1282" s="61"/>
      <c r="T1282" s="61"/>
      <c r="U1282" s="61"/>
      <c r="V1282" s="61"/>
      <c r="W1282" s="61"/>
      <c r="X1282" s="61"/>
      <c r="Y1282" s="61"/>
      <c r="Z1282" s="61"/>
      <c r="AA1282" s="61"/>
      <c r="AB1282" s="61"/>
      <c r="AC1282" s="61"/>
    </row>
    <row r="1283" ht="15.75" customHeight="1">
      <c r="A1283" s="61"/>
      <c r="B1283" s="61"/>
      <c r="C1283" s="61"/>
      <c r="D1283" s="61"/>
      <c r="E1283" s="61"/>
      <c r="F1283" s="61"/>
      <c r="G1283" s="61"/>
      <c r="H1283" s="61"/>
      <c r="I1283" s="61"/>
      <c r="J1283" s="61"/>
      <c r="K1283" s="61"/>
      <c r="L1283" s="61"/>
      <c r="M1283" s="61"/>
      <c r="N1283" s="61"/>
      <c r="O1283" s="61"/>
      <c r="P1283" s="61"/>
      <c r="Q1283" s="61"/>
      <c r="R1283" s="61"/>
      <c r="S1283" s="61"/>
      <c r="T1283" s="61"/>
      <c r="U1283" s="61"/>
      <c r="V1283" s="61"/>
      <c r="W1283" s="61"/>
      <c r="X1283" s="61"/>
      <c r="Y1283" s="61"/>
      <c r="Z1283" s="61"/>
      <c r="AA1283" s="61"/>
      <c r="AB1283" s="61"/>
      <c r="AC1283" s="61"/>
    </row>
    <row r="1284" ht="15.75" customHeight="1">
      <c r="A1284" s="61"/>
      <c r="B1284" s="61"/>
      <c r="C1284" s="61"/>
      <c r="D1284" s="61"/>
      <c r="E1284" s="61"/>
      <c r="F1284" s="61"/>
      <c r="G1284" s="61"/>
      <c r="H1284" s="61"/>
      <c r="I1284" s="61"/>
      <c r="J1284" s="61"/>
      <c r="K1284" s="61"/>
      <c r="L1284" s="61"/>
      <c r="M1284" s="61"/>
      <c r="N1284" s="61"/>
      <c r="O1284" s="61"/>
      <c r="P1284" s="61"/>
      <c r="Q1284" s="61"/>
      <c r="R1284" s="61"/>
      <c r="S1284" s="61"/>
      <c r="T1284" s="61"/>
      <c r="U1284" s="61"/>
      <c r="V1284" s="61"/>
      <c r="W1284" s="61"/>
      <c r="X1284" s="61"/>
      <c r="Y1284" s="61"/>
      <c r="Z1284" s="61"/>
      <c r="AA1284" s="61"/>
      <c r="AB1284" s="61"/>
      <c r="AC1284" s="61"/>
    </row>
    <row r="1285" ht="15.75" customHeight="1">
      <c r="A1285" s="61"/>
      <c r="B1285" s="61"/>
      <c r="C1285" s="61"/>
      <c r="D1285" s="61"/>
      <c r="E1285" s="61"/>
      <c r="F1285" s="61"/>
      <c r="G1285" s="61"/>
      <c r="H1285" s="61"/>
      <c r="I1285" s="61"/>
      <c r="J1285" s="61"/>
      <c r="K1285" s="61"/>
      <c r="L1285" s="61"/>
      <c r="M1285" s="61"/>
      <c r="N1285" s="61"/>
      <c r="O1285" s="61"/>
      <c r="P1285" s="61"/>
      <c r="Q1285" s="61"/>
      <c r="R1285" s="61"/>
      <c r="S1285" s="61"/>
      <c r="T1285" s="61"/>
      <c r="U1285" s="61"/>
      <c r="V1285" s="61"/>
      <c r="W1285" s="61"/>
      <c r="X1285" s="61"/>
      <c r="Y1285" s="61"/>
      <c r="Z1285" s="61"/>
      <c r="AA1285" s="61"/>
      <c r="AB1285" s="61"/>
      <c r="AC1285" s="61"/>
    </row>
    <row r="1286" ht="15.75" customHeight="1">
      <c r="A1286" s="61"/>
      <c r="B1286" s="61"/>
      <c r="C1286" s="61"/>
      <c r="D1286" s="61"/>
      <c r="E1286" s="61"/>
      <c r="F1286" s="61"/>
      <c r="G1286" s="61"/>
      <c r="H1286" s="61"/>
      <c r="I1286" s="61"/>
      <c r="J1286" s="61"/>
      <c r="K1286" s="61"/>
      <c r="L1286" s="61"/>
      <c r="M1286" s="61"/>
      <c r="N1286" s="61"/>
      <c r="O1286" s="61"/>
      <c r="P1286" s="61"/>
      <c r="Q1286" s="61"/>
      <c r="R1286" s="61"/>
      <c r="S1286" s="61"/>
      <c r="T1286" s="61"/>
      <c r="U1286" s="61"/>
      <c r="V1286" s="61"/>
      <c r="W1286" s="61"/>
      <c r="X1286" s="61"/>
      <c r="Y1286" s="61"/>
      <c r="Z1286" s="61"/>
      <c r="AA1286" s="61"/>
      <c r="AB1286" s="61"/>
      <c r="AC1286" s="61"/>
    </row>
    <row r="1287" ht="15.75" customHeight="1">
      <c r="A1287" s="61"/>
      <c r="B1287" s="61"/>
      <c r="C1287" s="61"/>
      <c r="D1287" s="61"/>
      <c r="E1287" s="61"/>
      <c r="F1287" s="61"/>
      <c r="G1287" s="61"/>
      <c r="H1287" s="61"/>
      <c r="I1287" s="61"/>
      <c r="J1287" s="61"/>
      <c r="K1287" s="61"/>
      <c r="L1287" s="61"/>
      <c r="M1287" s="61"/>
      <c r="N1287" s="61"/>
      <c r="O1287" s="61"/>
      <c r="P1287" s="61"/>
      <c r="Q1287" s="61"/>
      <c r="R1287" s="61"/>
      <c r="S1287" s="61"/>
      <c r="T1287" s="61"/>
      <c r="U1287" s="61"/>
      <c r="V1287" s="61"/>
      <c r="W1287" s="61"/>
      <c r="X1287" s="61"/>
      <c r="Y1287" s="61"/>
      <c r="Z1287" s="61"/>
      <c r="AA1287" s="61"/>
      <c r="AB1287" s="61"/>
      <c r="AC1287" s="61"/>
    </row>
    <row r="1288" ht="15.75" customHeight="1">
      <c r="A1288" s="61"/>
      <c r="B1288" s="61"/>
      <c r="C1288" s="61"/>
      <c r="D1288" s="61"/>
      <c r="E1288" s="61"/>
      <c r="F1288" s="61"/>
      <c r="G1288" s="61"/>
      <c r="H1288" s="61"/>
      <c r="I1288" s="61"/>
      <c r="J1288" s="61"/>
      <c r="K1288" s="61"/>
      <c r="L1288" s="61"/>
      <c r="M1288" s="61"/>
      <c r="N1288" s="61"/>
      <c r="O1288" s="61"/>
      <c r="P1288" s="61"/>
      <c r="Q1288" s="61"/>
      <c r="R1288" s="61"/>
      <c r="S1288" s="61"/>
      <c r="T1288" s="61"/>
      <c r="U1288" s="61"/>
      <c r="V1288" s="61"/>
      <c r="W1288" s="61"/>
      <c r="X1288" s="61"/>
      <c r="Y1288" s="61"/>
      <c r="Z1288" s="61"/>
      <c r="AA1288" s="61"/>
      <c r="AB1288" s="61"/>
      <c r="AC1288" s="61"/>
    </row>
    <row r="1289" ht="15.75" customHeight="1">
      <c r="A1289" s="61"/>
      <c r="B1289" s="61"/>
      <c r="C1289" s="61"/>
      <c r="D1289" s="61"/>
      <c r="E1289" s="61"/>
      <c r="F1289" s="61"/>
      <c r="G1289" s="61"/>
      <c r="H1289" s="61"/>
      <c r="I1289" s="61"/>
      <c r="J1289" s="61"/>
      <c r="K1289" s="61"/>
      <c r="L1289" s="61"/>
      <c r="M1289" s="61"/>
      <c r="N1289" s="61"/>
      <c r="O1289" s="61"/>
      <c r="P1289" s="61"/>
      <c r="Q1289" s="61"/>
      <c r="R1289" s="61"/>
      <c r="S1289" s="61"/>
      <c r="T1289" s="61"/>
      <c r="U1289" s="61"/>
      <c r="V1289" s="61"/>
      <c r="W1289" s="61"/>
      <c r="X1289" s="61"/>
      <c r="Y1289" s="61"/>
      <c r="Z1289" s="61"/>
      <c r="AA1289" s="61"/>
      <c r="AB1289" s="61"/>
      <c r="AC1289" s="61"/>
    </row>
    <row r="1290" ht="15.75" customHeight="1">
      <c r="A1290" s="61"/>
      <c r="B1290" s="61"/>
      <c r="C1290" s="61"/>
      <c r="D1290" s="61"/>
      <c r="E1290" s="61"/>
      <c r="F1290" s="61"/>
      <c r="G1290" s="61"/>
      <c r="H1290" s="61"/>
      <c r="I1290" s="61"/>
      <c r="J1290" s="61"/>
      <c r="K1290" s="61"/>
      <c r="L1290" s="61"/>
      <c r="M1290" s="61"/>
      <c r="N1290" s="61"/>
      <c r="O1290" s="61"/>
      <c r="P1290" s="61"/>
      <c r="Q1290" s="61"/>
      <c r="R1290" s="61"/>
      <c r="S1290" s="61"/>
      <c r="T1290" s="61"/>
      <c r="U1290" s="61"/>
      <c r="V1290" s="61"/>
      <c r="W1290" s="61"/>
      <c r="X1290" s="61"/>
      <c r="Y1290" s="61"/>
      <c r="Z1290" s="61"/>
      <c r="AA1290" s="61"/>
      <c r="AB1290" s="61"/>
      <c r="AC1290" s="61"/>
    </row>
    <row r="1291" ht="15.75" customHeight="1">
      <c r="A1291" s="61"/>
      <c r="B1291" s="61"/>
      <c r="C1291" s="61"/>
      <c r="D1291" s="61"/>
      <c r="E1291" s="61"/>
      <c r="F1291" s="61"/>
      <c r="G1291" s="61"/>
      <c r="H1291" s="61"/>
      <c r="I1291" s="61"/>
      <c r="J1291" s="61"/>
      <c r="K1291" s="61"/>
      <c r="L1291" s="61"/>
      <c r="M1291" s="61"/>
      <c r="N1291" s="61"/>
      <c r="O1291" s="61"/>
      <c r="P1291" s="61"/>
      <c r="Q1291" s="61"/>
      <c r="R1291" s="61"/>
      <c r="S1291" s="61"/>
      <c r="T1291" s="61"/>
      <c r="U1291" s="61"/>
      <c r="V1291" s="61"/>
      <c r="W1291" s="61"/>
      <c r="X1291" s="61"/>
      <c r="Y1291" s="61"/>
      <c r="Z1291" s="61"/>
      <c r="AA1291" s="61"/>
      <c r="AB1291" s="61"/>
      <c r="AC1291" s="61"/>
    </row>
    <row r="1292" ht="15.75" customHeight="1">
      <c r="A1292" s="61"/>
      <c r="B1292" s="61"/>
      <c r="C1292" s="61"/>
      <c r="D1292" s="61"/>
      <c r="E1292" s="61"/>
      <c r="F1292" s="61"/>
      <c r="G1292" s="61"/>
      <c r="H1292" s="61"/>
      <c r="I1292" s="61"/>
      <c r="J1292" s="61"/>
      <c r="K1292" s="61"/>
      <c r="L1292" s="61"/>
      <c r="M1292" s="61"/>
      <c r="N1292" s="61"/>
      <c r="O1292" s="61"/>
      <c r="P1292" s="61"/>
      <c r="Q1292" s="61"/>
      <c r="R1292" s="61"/>
      <c r="S1292" s="61"/>
      <c r="T1292" s="61"/>
      <c r="U1292" s="61"/>
      <c r="V1292" s="61"/>
      <c r="W1292" s="61"/>
      <c r="X1292" s="61"/>
      <c r="Y1292" s="61"/>
      <c r="Z1292" s="61"/>
      <c r="AA1292" s="61"/>
      <c r="AB1292" s="61"/>
      <c r="AC1292" s="61"/>
    </row>
    <row r="1293" ht="15.75" customHeight="1">
      <c r="A1293" s="61"/>
      <c r="B1293" s="61"/>
      <c r="C1293" s="61"/>
      <c r="D1293" s="61"/>
      <c r="E1293" s="61"/>
      <c r="F1293" s="61"/>
      <c r="G1293" s="61"/>
      <c r="H1293" s="61"/>
      <c r="I1293" s="61"/>
      <c r="J1293" s="61"/>
      <c r="K1293" s="61"/>
      <c r="L1293" s="61"/>
      <c r="M1293" s="61"/>
      <c r="N1293" s="61"/>
      <c r="O1293" s="61"/>
      <c r="P1293" s="61"/>
      <c r="Q1293" s="61"/>
      <c r="R1293" s="61"/>
      <c r="S1293" s="61"/>
      <c r="T1293" s="61"/>
      <c r="U1293" s="61"/>
      <c r="V1293" s="61"/>
      <c r="W1293" s="61"/>
      <c r="X1293" s="61"/>
      <c r="Y1293" s="61"/>
      <c r="Z1293" s="61"/>
      <c r="AA1293" s="61"/>
      <c r="AB1293" s="61"/>
      <c r="AC1293" s="61"/>
    </row>
    <row r="1294" ht="15.75" customHeight="1">
      <c r="A1294" s="61"/>
      <c r="B1294" s="61"/>
      <c r="C1294" s="61"/>
      <c r="D1294" s="61"/>
      <c r="E1294" s="61"/>
      <c r="F1294" s="61"/>
      <c r="G1294" s="61"/>
      <c r="H1294" s="61"/>
      <c r="I1294" s="61"/>
      <c r="J1294" s="61"/>
      <c r="K1294" s="61"/>
      <c r="L1294" s="61"/>
      <c r="M1294" s="61"/>
      <c r="N1294" s="61"/>
      <c r="O1294" s="61"/>
      <c r="P1294" s="61"/>
      <c r="Q1294" s="61"/>
      <c r="R1294" s="61"/>
      <c r="S1294" s="61"/>
      <c r="T1294" s="61"/>
      <c r="U1294" s="61"/>
      <c r="V1294" s="61"/>
      <c r="W1294" s="61"/>
      <c r="X1294" s="61"/>
      <c r="Y1294" s="61"/>
      <c r="Z1294" s="61"/>
      <c r="AA1294" s="61"/>
      <c r="AB1294" s="61"/>
      <c r="AC1294" s="61"/>
    </row>
    <row r="1295" ht="15.75" customHeight="1">
      <c r="A1295" s="61"/>
      <c r="B1295" s="61"/>
      <c r="C1295" s="61"/>
      <c r="D1295" s="61"/>
      <c r="E1295" s="61"/>
      <c r="F1295" s="61"/>
      <c r="G1295" s="61"/>
      <c r="H1295" s="61"/>
      <c r="I1295" s="61"/>
      <c r="J1295" s="61"/>
      <c r="K1295" s="61"/>
      <c r="L1295" s="61"/>
      <c r="M1295" s="61"/>
      <c r="N1295" s="61"/>
      <c r="O1295" s="61"/>
      <c r="P1295" s="61"/>
      <c r="Q1295" s="61"/>
      <c r="R1295" s="61"/>
      <c r="S1295" s="61"/>
      <c r="T1295" s="61"/>
      <c r="U1295" s="61"/>
      <c r="V1295" s="61"/>
      <c r="W1295" s="61"/>
      <c r="X1295" s="61"/>
      <c r="Y1295" s="61"/>
      <c r="Z1295" s="61"/>
      <c r="AA1295" s="61"/>
      <c r="AB1295" s="61"/>
      <c r="AC1295" s="61"/>
    </row>
    <row r="1296" ht="15.75" customHeight="1">
      <c r="A1296" s="61"/>
      <c r="B1296" s="61"/>
      <c r="C1296" s="61"/>
      <c r="D1296" s="61"/>
      <c r="E1296" s="61"/>
      <c r="F1296" s="61"/>
      <c r="G1296" s="61"/>
      <c r="H1296" s="61"/>
      <c r="I1296" s="61"/>
      <c r="J1296" s="61"/>
      <c r="K1296" s="61"/>
      <c r="L1296" s="61"/>
      <c r="M1296" s="61"/>
      <c r="N1296" s="61"/>
      <c r="O1296" s="61"/>
      <c r="P1296" s="61"/>
      <c r="Q1296" s="61"/>
      <c r="R1296" s="61"/>
      <c r="S1296" s="61"/>
      <c r="T1296" s="61"/>
      <c r="U1296" s="61"/>
      <c r="V1296" s="61"/>
      <c r="W1296" s="61"/>
      <c r="X1296" s="61"/>
      <c r="Y1296" s="61"/>
      <c r="Z1296" s="61"/>
      <c r="AA1296" s="61"/>
      <c r="AB1296" s="61"/>
      <c r="AC1296" s="61"/>
    </row>
    <row r="1297" ht="15.75" customHeight="1">
      <c r="A1297" s="61"/>
      <c r="B1297" s="61"/>
      <c r="C1297" s="61"/>
      <c r="D1297" s="61"/>
      <c r="E1297" s="61"/>
      <c r="F1297" s="61"/>
      <c r="G1297" s="61"/>
      <c r="H1297" s="61"/>
      <c r="I1297" s="61"/>
      <c r="J1297" s="61"/>
      <c r="K1297" s="61"/>
      <c r="L1297" s="61"/>
      <c r="M1297" s="61"/>
      <c r="N1297" s="61"/>
      <c r="O1297" s="61"/>
      <c r="P1297" s="61"/>
      <c r="Q1297" s="61"/>
      <c r="R1297" s="61"/>
      <c r="S1297" s="61"/>
      <c r="T1297" s="61"/>
      <c r="U1297" s="61"/>
      <c r="V1297" s="61"/>
      <c r="W1297" s="61"/>
      <c r="X1297" s="61"/>
      <c r="Y1297" s="61"/>
      <c r="Z1297" s="61"/>
      <c r="AA1297" s="61"/>
      <c r="AB1297" s="61"/>
      <c r="AC1297" s="61"/>
    </row>
    <row r="1298" ht="15.75" customHeight="1">
      <c r="A1298" s="61"/>
      <c r="B1298" s="61"/>
      <c r="C1298" s="61"/>
      <c r="D1298" s="61"/>
      <c r="E1298" s="61"/>
      <c r="F1298" s="61"/>
      <c r="G1298" s="61"/>
      <c r="H1298" s="61"/>
      <c r="I1298" s="61"/>
      <c r="J1298" s="61"/>
      <c r="K1298" s="61"/>
      <c r="L1298" s="61"/>
      <c r="M1298" s="61"/>
      <c r="N1298" s="61"/>
      <c r="O1298" s="61"/>
      <c r="P1298" s="61"/>
      <c r="Q1298" s="61"/>
      <c r="R1298" s="61"/>
      <c r="S1298" s="61"/>
      <c r="T1298" s="61"/>
      <c r="U1298" s="61"/>
      <c r="V1298" s="61"/>
      <c r="W1298" s="61"/>
      <c r="X1298" s="61"/>
      <c r="Y1298" s="61"/>
      <c r="Z1298" s="61"/>
      <c r="AA1298" s="61"/>
      <c r="AB1298" s="61"/>
      <c r="AC1298" s="61"/>
    </row>
    <row r="1299" ht="15.75" customHeight="1">
      <c r="A1299" s="61"/>
      <c r="B1299" s="61"/>
      <c r="C1299" s="61"/>
      <c r="D1299" s="61"/>
      <c r="E1299" s="61"/>
      <c r="F1299" s="61"/>
      <c r="G1299" s="61"/>
      <c r="H1299" s="61"/>
      <c r="I1299" s="61"/>
      <c r="J1299" s="61"/>
      <c r="K1299" s="61"/>
      <c r="L1299" s="61"/>
      <c r="M1299" s="61"/>
      <c r="N1299" s="61"/>
      <c r="O1299" s="61"/>
      <c r="P1299" s="61"/>
      <c r="Q1299" s="61"/>
      <c r="R1299" s="61"/>
      <c r="S1299" s="61"/>
      <c r="T1299" s="61"/>
      <c r="U1299" s="61"/>
      <c r="V1299" s="61"/>
      <c r="W1299" s="61"/>
      <c r="X1299" s="61"/>
      <c r="Y1299" s="61"/>
      <c r="Z1299" s="61"/>
      <c r="AA1299" s="61"/>
      <c r="AB1299" s="61"/>
      <c r="AC1299" s="61"/>
    </row>
    <row r="1300" ht="15.75" customHeight="1">
      <c r="A1300" s="61"/>
      <c r="B1300" s="61"/>
      <c r="C1300" s="61"/>
      <c r="D1300" s="61"/>
      <c r="E1300" s="61"/>
      <c r="F1300" s="61"/>
      <c r="G1300" s="61"/>
      <c r="H1300" s="61"/>
      <c r="I1300" s="61"/>
      <c r="J1300" s="61"/>
      <c r="K1300" s="61"/>
      <c r="L1300" s="61"/>
      <c r="M1300" s="61"/>
      <c r="N1300" s="61"/>
      <c r="O1300" s="61"/>
      <c r="P1300" s="61"/>
      <c r="Q1300" s="61"/>
      <c r="R1300" s="61"/>
      <c r="S1300" s="61"/>
      <c r="T1300" s="61"/>
      <c r="U1300" s="61"/>
      <c r="V1300" s="61"/>
      <c r="W1300" s="61"/>
      <c r="X1300" s="61"/>
      <c r="Y1300" s="61"/>
      <c r="Z1300" s="61"/>
      <c r="AA1300" s="61"/>
      <c r="AB1300" s="61"/>
      <c r="AC1300" s="61"/>
    </row>
    <row r="1301" ht="15.75" customHeight="1">
      <c r="A1301" s="61"/>
      <c r="B1301" s="61"/>
      <c r="C1301" s="61"/>
      <c r="D1301" s="61"/>
      <c r="E1301" s="61"/>
      <c r="F1301" s="61"/>
      <c r="G1301" s="61"/>
      <c r="H1301" s="61"/>
      <c r="I1301" s="61"/>
      <c r="J1301" s="61"/>
      <c r="K1301" s="61"/>
      <c r="L1301" s="61"/>
      <c r="M1301" s="61"/>
      <c r="N1301" s="61"/>
      <c r="O1301" s="61"/>
      <c r="P1301" s="61"/>
      <c r="Q1301" s="61"/>
      <c r="R1301" s="61"/>
      <c r="S1301" s="61"/>
      <c r="T1301" s="61"/>
      <c r="U1301" s="61"/>
      <c r="V1301" s="61"/>
      <c r="W1301" s="61"/>
      <c r="X1301" s="61"/>
      <c r="Y1301" s="61"/>
      <c r="Z1301" s="61"/>
      <c r="AA1301" s="61"/>
      <c r="AB1301" s="61"/>
      <c r="AC1301" s="61"/>
    </row>
    <row r="1302" ht="15.75" customHeight="1">
      <c r="A1302" s="61"/>
      <c r="B1302" s="61"/>
      <c r="C1302" s="61"/>
      <c r="D1302" s="61"/>
      <c r="E1302" s="61"/>
      <c r="F1302" s="61"/>
      <c r="G1302" s="61"/>
      <c r="H1302" s="61"/>
      <c r="I1302" s="61"/>
      <c r="J1302" s="61"/>
      <c r="K1302" s="61"/>
      <c r="L1302" s="61"/>
      <c r="M1302" s="61"/>
      <c r="N1302" s="61"/>
      <c r="O1302" s="61"/>
      <c r="P1302" s="61"/>
      <c r="Q1302" s="61"/>
      <c r="R1302" s="61"/>
      <c r="S1302" s="61"/>
      <c r="T1302" s="61"/>
      <c r="U1302" s="61"/>
      <c r="V1302" s="61"/>
      <c r="W1302" s="61"/>
      <c r="X1302" s="61"/>
      <c r="Y1302" s="61"/>
      <c r="Z1302" s="61"/>
      <c r="AA1302" s="61"/>
      <c r="AB1302" s="61"/>
      <c r="AC1302" s="61"/>
    </row>
    <row r="1303" ht="15.75" customHeight="1">
      <c r="A1303" s="61"/>
      <c r="B1303" s="61"/>
      <c r="C1303" s="61"/>
      <c r="D1303" s="61"/>
      <c r="E1303" s="61"/>
      <c r="F1303" s="61"/>
      <c r="G1303" s="61"/>
      <c r="H1303" s="61"/>
      <c r="I1303" s="61"/>
      <c r="J1303" s="61"/>
      <c r="K1303" s="61"/>
      <c r="L1303" s="61"/>
      <c r="M1303" s="61"/>
      <c r="N1303" s="61"/>
      <c r="O1303" s="61"/>
      <c r="P1303" s="61"/>
      <c r="Q1303" s="61"/>
      <c r="R1303" s="61"/>
      <c r="S1303" s="61"/>
      <c r="T1303" s="61"/>
      <c r="U1303" s="61"/>
      <c r="V1303" s="61"/>
      <c r="W1303" s="61"/>
      <c r="X1303" s="61"/>
      <c r="Y1303" s="61"/>
      <c r="Z1303" s="61"/>
      <c r="AA1303" s="61"/>
      <c r="AB1303" s="61"/>
      <c r="AC1303" s="61"/>
    </row>
    <row r="1304" ht="15.75" customHeight="1">
      <c r="A1304" s="61"/>
      <c r="B1304" s="61"/>
      <c r="C1304" s="61"/>
      <c r="D1304" s="61"/>
      <c r="E1304" s="61"/>
      <c r="F1304" s="61"/>
      <c r="G1304" s="61"/>
      <c r="H1304" s="61"/>
      <c r="I1304" s="61"/>
      <c r="J1304" s="61"/>
      <c r="K1304" s="61"/>
      <c r="L1304" s="61"/>
      <c r="M1304" s="61"/>
      <c r="N1304" s="61"/>
      <c r="O1304" s="61"/>
      <c r="P1304" s="61"/>
      <c r="Q1304" s="61"/>
      <c r="R1304" s="61"/>
      <c r="S1304" s="61"/>
      <c r="T1304" s="61"/>
      <c r="U1304" s="61"/>
      <c r="V1304" s="61"/>
      <c r="W1304" s="61"/>
      <c r="X1304" s="61"/>
      <c r="Y1304" s="61"/>
      <c r="Z1304" s="61"/>
      <c r="AA1304" s="61"/>
      <c r="AB1304" s="61"/>
      <c r="AC1304" s="61"/>
    </row>
    <row r="1305" ht="15.75" customHeight="1">
      <c r="A1305" s="61"/>
      <c r="B1305" s="61"/>
      <c r="C1305" s="61"/>
      <c r="D1305" s="61"/>
      <c r="E1305" s="61"/>
      <c r="F1305" s="61"/>
      <c r="G1305" s="61"/>
      <c r="H1305" s="61"/>
      <c r="I1305" s="61"/>
      <c r="J1305" s="61"/>
      <c r="K1305" s="61"/>
      <c r="L1305" s="61"/>
      <c r="M1305" s="61"/>
      <c r="N1305" s="61"/>
      <c r="O1305" s="61"/>
      <c r="P1305" s="61"/>
      <c r="Q1305" s="61"/>
      <c r="R1305" s="61"/>
      <c r="S1305" s="61"/>
      <c r="T1305" s="61"/>
      <c r="U1305" s="61"/>
      <c r="V1305" s="61"/>
      <c r="W1305" s="61"/>
      <c r="X1305" s="61"/>
      <c r="Y1305" s="61"/>
      <c r="Z1305" s="61"/>
      <c r="AA1305" s="61"/>
      <c r="AB1305" s="61"/>
      <c r="AC1305" s="61"/>
    </row>
    <row r="1306" ht="15.75" customHeight="1">
      <c r="A1306" s="61"/>
      <c r="B1306" s="61"/>
      <c r="C1306" s="61"/>
      <c r="D1306" s="61"/>
      <c r="E1306" s="61"/>
      <c r="F1306" s="61"/>
      <c r="G1306" s="61"/>
      <c r="H1306" s="61"/>
      <c r="I1306" s="61"/>
      <c r="J1306" s="61"/>
      <c r="K1306" s="61"/>
      <c r="L1306" s="61"/>
      <c r="M1306" s="61"/>
      <c r="N1306" s="61"/>
      <c r="O1306" s="61"/>
      <c r="P1306" s="61"/>
      <c r="Q1306" s="61"/>
      <c r="R1306" s="61"/>
      <c r="S1306" s="61"/>
      <c r="T1306" s="61"/>
      <c r="U1306" s="61"/>
      <c r="V1306" s="61"/>
      <c r="W1306" s="61"/>
      <c r="X1306" s="61"/>
      <c r="Y1306" s="61"/>
      <c r="Z1306" s="61"/>
      <c r="AA1306" s="61"/>
      <c r="AB1306" s="61"/>
      <c r="AC1306" s="61"/>
    </row>
    <row r="1307" ht="15.75" customHeight="1">
      <c r="A1307" s="61"/>
      <c r="B1307" s="61"/>
      <c r="C1307" s="61"/>
      <c r="D1307" s="61"/>
      <c r="E1307" s="61"/>
      <c r="F1307" s="61"/>
      <c r="G1307" s="61"/>
      <c r="H1307" s="61"/>
      <c r="I1307" s="61"/>
      <c r="J1307" s="61"/>
      <c r="K1307" s="61"/>
      <c r="L1307" s="61"/>
      <c r="M1307" s="61"/>
      <c r="N1307" s="61"/>
      <c r="O1307" s="61"/>
      <c r="P1307" s="61"/>
      <c r="Q1307" s="61"/>
      <c r="R1307" s="61"/>
      <c r="S1307" s="61"/>
      <c r="T1307" s="61"/>
      <c r="U1307" s="61"/>
      <c r="V1307" s="61"/>
      <c r="W1307" s="61"/>
      <c r="X1307" s="61"/>
      <c r="Y1307" s="61"/>
      <c r="Z1307" s="61"/>
      <c r="AA1307" s="61"/>
      <c r="AB1307" s="61"/>
      <c r="AC1307" s="61"/>
    </row>
    <row r="1308" ht="15.75" customHeight="1">
      <c r="A1308" s="61"/>
      <c r="B1308" s="61"/>
      <c r="C1308" s="61"/>
      <c r="D1308" s="61"/>
      <c r="E1308" s="61"/>
      <c r="F1308" s="61"/>
      <c r="G1308" s="61"/>
      <c r="H1308" s="61"/>
      <c r="I1308" s="61"/>
      <c r="J1308" s="61"/>
      <c r="K1308" s="61"/>
      <c r="L1308" s="61"/>
      <c r="M1308" s="61"/>
      <c r="N1308" s="61"/>
      <c r="O1308" s="61"/>
      <c r="P1308" s="61"/>
      <c r="Q1308" s="61"/>
      <c r="R1308" s="61"/>
      <c r="S1308" s="61"/>
      <c r="T1308" s="61"/>
      <c r="U1308" s="61"/>
      <c r="V1308" s="61"/>
      <c r="W1308" s="61"/>
      <c r="X1308" s="61"/>
      <c r="Y1308" s="61"/>
      <c r="Z1308" s="61"/>
      <c r="AA1308" s="61"/>
      <c r="AB1308" s="61"/>
      <c r="AC1308" s="61"/>
    </row>
    <row r="1309" ht="15.75" customHeight="1">
      <c r="A1309" s="61"/>
      <c r="B1309" s="61"/>
      <c r="C1309" s="61"/>
      <c r="D1309" s="61"/>
      <c r="E1309" s="61"/>
      <c r="F1309" s="61"/>
      <c r="G1309" s="61"/>
      <c r="H1309" s="61"/>
      <c r="I1309" s="61"/>
      <c r="J1309" s="61"/>
      <c r="K1309" s="61"/>
      <c r="L1309" s="61"/>
      <c r="M1309" s="61"/>
      <c r="N1309" s="61"/>
      <c r="O1309" s="61"/>
      <c r="P1309" s="61"/>
      <c r="Q1309" s="61"/>
      <c r="R1309" s="61"/>
      <c r="S1309" s="61"/>
      <c r="T1309" s="61"/>
      <c r="U1309" s="61"/>
      <c r="V1309" s="61"/>
      <c r="W1309" s="61"/>
      <c r="X1309" s="61"/>
      <c r="Y1309" s="61"/>
      <c r="Z1309" s="61"/>
      <c r="AA1309" s="61"/>
      <c r="AB1309" s="61"/>
      <c r="AC1309" s="61"/>
    </row>
    <row r="1310" ht="15.75" customHeight="1">
      <c r="A1310" s="61"/>
      <c r="B1310" s="61"/>
      <c r="C1310" s="61"/>
      <c r="D1310" s="61"/>
      <c r="E1310" s="61"/>
      <c r="F1310" s="61"/>
      <c r="G1310" s="61"/>
      <c r="H1310" s="61"/>
      <c r="I1310" s="61"/>
      <c r="J1310" s="61"/>
      <c r="K1310" s="61"/>
      <c r="L1310" s="61"/>
      <c r="M1310" s="61"/>
      <c r="N1310" s="61"/>
      <c r="O1310" s="61"/>
      <c r="P1310" s="61"/>
      <c r="Q1310" s="61"/>
      <c r="R1310" s="61"/>
      <c r="S1310" s="61"/>
      <c r="T1310" s="61"/>
      <c r="U1310" s="61"/>
      <c r="V1310" s="61"/>
      <c r="W1310" s="61"/>
      <c r="X1310" s="61"/>
      <c r="Y1310" s="61"/>
      <c r="Z1310" s="61"/>
      <c r="AA1310" s="61"/>
      <c r="AB1310" s="61"/>
      <c r="AC1310" s="61"/>
    </row>
    <row r="1311" ht="15.75" customHeight="1">
      <c r="A1311" s="61"/>
      <c r="B1311" s="61"/>
      <c r="C1311" s="61"/>
      <c r="D1311" s="61"/>
      <c r="E1311" s="61"/>
      <c r="F1311" s="61"/>
      <c r="G1311" s="61"/>
      <c r="H1311" s="61"/>
      <c r="I1311" s="61"/>
      <c r="J1311" s="61"/>
      <c r="K1311" s="61"/>
      <c r="L1311" s="61"/>
      <c r="M1311" s="61"/>
      <c r="N1311" s="61"/>
      <c r="O1311" s="61"/>
      <c r="P1311" s="61"/>
      <c r="Q1311" s="61"/>
      <c r="R1311" s="61"/>
      <c r="S1311" s="61"/>
      <c r="T1311" s="61"/>
      <c r="U1311" s="61"/>
      <c r="V1311" s="61"/>
      <c r="W1311" s="61"/>
      <c r="X1311" s="61"/>
      <c r="Y1311" s="61"/>
      <c r="Z1311" s="61"/>
      <c r="AA1311" s="61"/>
      <c r="AB1311" s="61"/>
      <c r="AC1311" s="61"/>
    </row>
    <row r="1312" ht="15.75" customHeight="1">
      <c r="A1312" s="61"/>
      <c r="B1312" s="61"/>
      <c r="C1312" s="61"/>
      <c r="D1312" s="61"/>
      <c r="E1312" s="61"/>
      <c r="F1312" s="61"/>
      <c r="G1312" s="61"/>
      <c r="H1312" s="61"/>
      <c r="I1312" s="61"/>
      <c r="J1312" s="61"/>
      <c r="K1312" s="61"/>
      <c r="L1312" s="61"/>
      <c r="M1312" s="61"/>
      <c r="N1312" s="61"/>
      <c r="O1312" s="61"/>
      <c r="P1312" s="61"/>
      <c r="Q1312" s="61"/>
      <c r="R1312" s="61"/>
      <c r="S1312" s="61"/>
      <c r="T1312" s="61"/>
      <c r="U1312" s="61"/>
      <c r="V1312" s="61"/>
      <c r="W1312" s="61"/>
      <c r="X1312" s="61"/>
      <c r="Y1312" s="61"/>
      <c r="Z1312" s="61"/>
      <c r="AA1312" s="61"/>
      <c r="AB1312" s="61"/>
      <c r="AC1312" s="61"/>
    </row>
    <row r="1313" ht="15.75" customHeight="1">
      <c r="A1313" s="61"/>
      <c r="B1313" s="61"/>
      <c r="C1313" s="61"/>
      <c r="D1313" s="61"/>
      <c r="E1313" s="61"/>
      <c r="F1313" s="61"/>
      <c r="G1313" s="61"/>
      <c r="H1313" s="61"/>
      <c r="I1313" s="61"/>
      <c r="J1313" s="61"/>
      <c r="K1313" s="61"/>
      <c r="L1313" s="61"/>
      <c r="M1313" s="61"/>
      <c r="N1313" s="61"/>
      <c r="O1313" s="61"/>
      <c r="P1313" s="61"/>
      <c r="Q1313" s="61"/>
      <c r="R1313" s="61"/>
      <c r="S1313" s="61"/>
      <c r="T1313" s="61"/>
      <c r="U1313" s="61"/>
      <c r="V1313" s="61"/>
      <c r="W1313" s="61"/>
      <c r="X1313" s="61"/>
      <c r="Y1313" s="61"/>
      <c r="Z1313" s="61"/>
      <c r="AA1313" s="61"/>
      <c r="AB1313" s="61"/>
      <c r="AC1313" s="61"/>
    </row>
    <row r="1314" ht="15.75" customHeight="1">
      <c r="A1314" s="61"/>
      <c r="B1314" s="61"/>
      <c r="C1314" s="61"/>
      <c r="D1314" s="61"/>
      <c r="E1314" s="61"/>
      <c r="F1314" s="61"/>
      <c r="G1314" s="61"/>
      <c r="H1314" s="61"/>
      <c r="I1314" s="61"/>
      <c r="J1314" s="61"/>
      <c r="K1314" s="61"/>
      <c r="L1314" s="61"/>
      <c r="M1314" s="61"/>
      <c r="N1314" s="61"/>
      <c r="O1314" s="61"/>
      <c r="P1314" s="61"/>
      <c r="Q1314" s="61"/>
      <c r="R1314" s="61"/>
      <c r="S1314" s="61"/>
      <c r="T1314" s="61"/>
      <c r="U1314" s="61"/>
      <c r="V1314" s="61"/>
      <c r="W1314" s="61"/>
      <c r="X1314" s="61"/>
      <c r="Y1314" s="61"/>
      <c r="Z1314" s="61"/>
      <c r="AA1314" s="61"/>
      <c r="AB1314" s="61"/>
      <c r="AC1314" s="61"/>
    </row>
    <row r="1315" ht="15.75" customHeight="1">
      <c r="A1315" s="61"/>
      <c r="B1315" s="61"/>
      <c r="C1315" s="61"/>
      <c r="D1315" s="61"/>
      <c r="E1315" s="61"/>
      <c r="F1315" s="61"/>
      <c r="G1315" s="61"/>
      <c r="H1315" s="61"/>
      <c r="I1315" s="61"/>
      <c r="J1315" s="61"/>
      <c r="K1315" s="61"/>
      <c r="L1315" s="61"/>
      <c r="M1315" s="61"/>
      <c r="N1315" s="61"/>
      <c r="O1315" s="61"/>
      <c r="P1315" s="61"/>
      <c r="Q1315" s="61"/>
      <c r="R1315" s="61"/>
      <c r="S1315" s="61"/>
      <c r="T1315" s="61"/>
      <c r="U1315" s="61"/>
      <c r="V1315" s="61"/>
      <c r="W1315" s="61"/>
      <c r="X1315" s="61"/>
      <c r="Y1315" s="61"/>
      <c r="Z1315" s="61"/>
      <c r="AA1315" s="61"/>
      <c r="AB1315" s="61"/>
      <c r="AC1315" s="61"/>
    </row>
    <row r="1316" ht="15.75" customHeight="1">
      <c r="A1316" s="61"/>
      <c r="B1316" s="61"/>
      <c r="C1316" s="61"/>
      <c r="D1316" s="61"/>
      <c r="E1316" s="61"/>
      <c r="F1316" s="61"/>
      <c r="G1316" s="61"/>
      <c r="H1316" s="61"/>
      <c r="I1316" s="61"/>
      <c r="J1316" s="61"/>
      <c r="K1316" s="61"/>
      <c r="L1316" s="61"/>
      <c r="M1316" s="61"/>
      <c r="N1316" s="61"/>
      <c r="O1316" s="61"/>
      <c r="P1316" s="61"/>
      <c r="Q1316" s="61"/>
      <c r="R1316" s="61"/>
      <c r="S1316" s="61"/>
      <c r="T1316" s="61"/>
      <c r="U1316" s="61"/>
      <c r="V1316" s="61"/>
      <c r="W1316" s="61"/>
      <c r="X1316" s="61"/>
      <c r="Y1316" s="61"/>
      <c r="Z1316" s="61"/>
      <c r="AA1316" s="61"/>
      <c r="AB1316" s="61"/>
      <c r="AC1316" s="61"/>
    </row>
    <row r="1317" ht="15.75" customHeight="1">
      <c r="A1317" s="61"/>
      <c r="B1317" s="61"/>
      <c r="C1317" s="61"/>
      <c r="D1317" s="61"/>
      <c r="E1317" s="61"/>
      <c r="F1317" s="61"/>
      <c r="G1317" s="61"/>
      <c r="H1317" s="61"/>
      <c r="I1317" s="61"/>
      <c r="J1317" s="61"/>
      <c r="K1317" s="61"/>
      <c r="L1317" s="61"/>
      <c r="M1317" s="61"/>
      <c r="N1317" s="61"/>
      <c r="O1317" s="61"/>
      <c r="P1317" s="61"/>
      <c r="Q1317" s="61"/>
      <c r="R1317" s="61"/>
      <c r="S1317" s="61"/>
      <c r="T1317" s="61"/>
      <c r="U1317" s="61"/>
      <c r="V1317" s="61"/>
      <c r="W1317" s="61"/>
      <c r="X1317" s="61"/>
      <c r="Y1317" s="61"/>
      <c r="Z1317" s="61"/>
      <c r="AA1317" s="61"/>
      <c r="AB1317" s="61"/>
      <c r="AC1317" s="61"/>
    </row>
    <row r="1318" ht="15.75" customHeight="1">
      <c r="A1318" s="61"/>
      <c r="B1318" s="61"/>
      <c r="C1318" s="61"/>
      <c r="D1318" s="61"/>
      <c r="E1318" s="61"/>
      <c r="F1318" s="61"/>
      <c r="G1318" s="61"/>
      <c r="H1318" s="61"/>
      <c r="I1318" s="61"/>
      <c r="J1318" s="61"/>
      <c r="K1318" s="61"/>
      <c r="L1318" s="61"/>
      <c r="M1318" s="61"/>
      <c r="N1318" s="61"/>
      <c r="O1318" s="61"/>
      <c r="P1318" s="61"/>
      <c r="Q1318" s="61"/>
      <c r="R1318" s="61"/>
      <c r="S1318" s="61"/>
      <c r="T1318" s="61"/>
      <c r="U1318" s="61"/>
      <c r="V1318" s="61"/>
      <c r="W1318" s="61"/>
      <c r="X1318" s="61"/>
      <c r="Y1318" s="61"/>
      <c r="Z1318" s="61"/>
      <c r="AA1318" s="61"/>
      <c r="AB1318" s="61"/>
      <c r="AC1318" s="61"/>
    </row>
    <row r="1319" ht="15.75" customHeight="1">
      <c r="A1319" s="61"/>
      <c r="B1319" s="61"/>
      <c r="C1319" s="61"/>
      <c r="D1319" s="61"/>
      <c r="E1319" s="61"/>
      <c r="F1319" s="61"/>
      <c r="G1319" s="61"/>
      <c r="H1319" s="61"/>
      <c r="I1319" s="61"/>
      <c r="J1319" s="61"/>
      <c r="K1319" s="61"/>
      <c r="L1319" s="61"/>
      <c r="M1319" s="61"/>
      <c r="N1319" s="61"/>
      <c r="O1319" s="61"/>
      <c r="P1319" s="61"/>
      <c r="Q1319" s="61"/>
      <c r="R1319" s="61"/>
      <c r="S1319" s="61"/>
      <c r="T1319" s="61"/>
      <c r="U1319" s="61"/>
      <c r="V1319" s="61"/>
      <c r="W1319" s="61"/>
      <c r="X1319" s="61"/>
      <c r="Y1319" s="61"/>
      <c r="Z1319" s="61"/>
      <c r="AA1319" s="61"/>
      <c r="AB1319" s="61"/>
      <c r="AC1319" s="61"/>
    </row>
    <row r="1320" ht="15.75" customHeight="1">
      <c r="A1320" s="61"/>
      <c r="B1320" s="61"/>
      <c r="C1320" s="61"/>
      <c r="D1320" s="61"/>
      <c r="E1320" s="61"/>
      <c r="F1320" s="61"/>
      <c r="G1320" s="61"/>
      <c r="H1320" s="61"/>
      <c r="I1320" s="61"/>
      <c r="J1320" s="61"/>
      <c r="K1320" s="61"/>
      <c r="L1320" s="61"/>
      <c r="M1320" s="61"/>
      <c r="N1320" s="61"/>
      <c r="O1320" s="61"/>
      <c r="P1320" s="61"/>
      <c r="Q1320" s="61"/>
      <c r="R1320" s="61"/>
      <c r="S1320" s="61"/>
      <c r="T1320" s="61"/>
      <c r="U1320" s="61"/>
      <c r="V1320" s="61"/>
      <c r="W1320" s="61"/>
      <c r="X1320" s="61"/>
      <c r="Y1320" s="61"/>
      <c r="Z1320" s="61"/>
      <c r="AA1320" s="61"/>
      <c r="AB1320" s="61"/>
      <c r="AC1320" s="61"/>
    </row>
    <row r="1321" ht="15.75" customHeight="1">
      <c r="A1321" s="61"/>
      <c r="B1321" s="61"/>
      <c r="C1321" s="61"/>
      <c r="D1321" s="61"/>
      <c r="E1321" s="61"/>
      <c r="F1321" s="61"/>
      <c r="G1321" s="61"/>
      <c r="H1321" s="61"/>
      <c r="I1321" s="61"/>
      <c r="J1321" s="61"/>
      <c r="K1321" s="61"/>
      <c r="L1321" s="61"/>
      <c r="M1321" s="61"/>
      <c r="N1321" s="61"/>
      <c r="O1321" s="61"/>
      <c r="P1321" s="61"/>
      <c r="Q1321" s="61"/>
      <c r="R1321" s="61"/>
      <c r="S1321" s="61"/>
      <c r="T1321" s="61"/>
      <c r="U1321" s="61"/>
      <c r="V1321" s="61"/>
      <c r="W1321" s="61"/>
      <c r="X1321" s="61"/>
      <c r="Y1321" s="61"/>
      <c r="Z1321" s="61"/>
      <c r="AA1321" s="61"/>
      <c r="AB1321" s="61"/>
      <c r="AC1321" s="61"/>
    </row>
    <row r="1322" ht="15.75" customHeight="1">
      <c r="A1322" s="61"/>
      <c r="B1322" s="61"/>
      <c r="C1322" s="61"/>
      <c r="D1322" s="61"/>
      <c r="E1322" s="61"/>
      <c r="F1322" s="61"/>
      <c r="G1322" s="61"/>
      <c r="H1322" s="61"/>
      <c r="I1322" s="61"/>
      <c r="J1322" s="61"/>
      <c r="K1322" s="61"/>
      <c r="L1322" s="61"/>
      <c r="M1322" s="61"/>
      <c r="N1322" s="61"/>
      <c r="O1322" s="61"/>
      <c r="P1322" s="61"/>
      <c r="Q1322" s="61"/>
      <c r="R1322" s="61"/>
      <c r="S1322" s="61"/>
      <c r="T1322" s="61"/>
      <c r="U1322" s="61"/>
      <c r="V1322" s="61"/>
      <c r="W1322" s="61"/>
      <c r="X1322" s="61"/>
      <c r="Y1322" s="61"/>
      <c r="Z1322" s="61"/>
      <c r="AA1322" s="61"/>
      <c r="AB1322" s="61"/>
      <c r="AC1322" s="61"/>
    </row>
    <row r="1323" ht="15.75" customHeight="1">
      <c r="A1323" s="61"/>
      <c r="B1323" s="61"/>
      <c r="C1323" s="61"/>
      <c r="D1323" s="61"/>
      <c r="E1323" s="61"/>
      <c r="F1323" s="61"/>
      <c r="G1323" s="61"/>
      <c r="H1323" s="61"/>
      <c r="I1323" s="61"/>
      <c r="J1323" s="61"/>
      <c r="K1323" s="61"/>
      <c r="L1323" s="61"/>
      <c r="M1323" s="61"/>
      <c r="N1323" s="61"/>
      <c r="O1323" s="61"/>
      <c r="P1323" s="61"/>
      <c r="Q1323" s="61"/>
      <c r="R1323" s="61"/>
      <c r="S1323" s="61"/>
      <c r="T1323" s="61"/>
      <c r="U1323" s="61"/>
      <c r="V1323" s="61"/>
      <c r="W1323" s="61"/>
      <c r="X1323" s="61"/>
      <c r="Y1323" s="61"/>
      <c r="Z1323" s="61"/>
      <c r="AA1323" s="61"/>
      <c r="AB1323" s="61"/>
      <c r="AC1323" s="61"/>
    </row>
    <row r="1324" ht="15.75" customHeight="1">
      <c r="A1324" s="61"/>
      <c r="B1324" s="61"/>
      <c r="C1324" s="61"/>
      <c r="D1324" s="61"/>
      <c r="E1324" s="61"/>
      <c r="F1324" s="61"/>
      <c r="G1324" s="61"/>
      <c r="H1324" s="61"/>
      <c r="I1324" s="61"/>
      <c r="J1324" s="61"/>
      <c r="K1324" s="61"/>
      <c r="L1324" s="61"/>
      <c r="M1324" s="61"/>
      <c r="N1324" s="61"/>
      <c r="O1324" s="61"/>
      <c r="P1324" s="61"/>
      <c r="Q1324" s="61"/>
      <c r="R1324" s="61"/>
      <c r="S1324" s="61"/>
      <c r="T1324" s="61"/>
      <c r="U1324" s="61"/>
      <c r="V1324" s="61"/>
      <c r="W1324" s="61"/>
      <c r="X1324" s="61"/>
      <c r="Y1324" s="61"/>
      <c r="Z1324" s="61"/>
      <c r="AA1324" s="61"/>
      <c r="AB1324" s="61"/>
      <c r="AC1324" s="61"/>
    </row>
    <row r="1325" ht="15.75" customHeight="1">
      <c r="A1325" s="61"/>
      <c r="B1325" s="61"/>
      <c r="C1325" s="61"/>
      <c r="D1325" s="61"/>
      <c r="E1325" s="61"/>
      <c r="F1325" s="61"/>
      <c r="G1325" s="61"/>
      <c r="H1325" s="61"/>
      <c r="I1325" s="61"/>
      <c r="J1325" s="61"/>
      <c r="K1325" s="61"/>
      <c r="L1325" s="61"/>
      <c r="M1325" s="61"/>
      <c r="N1325" s="61"/>
      <c r="O1325" s="61"/>
      <c r="P1325" s="61"/>
      <c r="Q1325" s="61"/>
      <c r="R1325" s="61"/>
      <c r="S1325" s="61"/>
      <c r="T1325" s="61"/>
      <c r="U1325" s="61"/>
      <c r="V1325" s="61"/>
      <c r="W1325" s="61"/>
      <c r="X1325" s="61"/>
      <c r="Y1325" s="61"/>
      <c r="Z1325" s="61"/>
      <c r="AA1325" s="61"/>
      <c r="AB1325" s="61"/>
      <c r="AC1325" s="61"/>
    </row>
    <row r="1326" ht="15.75" customHeight="1">
      <c r="A1326" s="61"/>
      <c r="B1326" s="61"/>
      <c r="C1326" s="61"/>
      <c r="D1326" s="61"/>
      <c r="E1326" s="61"/>
      <c r="F1326" s="61"/>
      <c r="G1326" s="61"/>
      <c r="H1326" s="61"/>
      <c r="I1326" s="61"/>
      <c r="J1326" s="61"/>
      <c r="K1326" s="61"/>
      <c r="L1326" s="61"/>
      <c r="M1326" s="61"/>
      <c r="N1326" s="61"/>
      <c r="O1326" s="61"/>
      <c r="P1326" s="61"/>
      <c r="Q1326" s="61"/>
      <c r="R1326" s="61"/>
      <c r="S1326" s="61"/>
      <c r="T1326" s="61"/>
      <c r="U1326" s="61"/>
      <c r="V1326" s="61"/>
      <c r="W1326" s="61"/>
      <c r="X1326" s="61"/>
      <c r="Y1326" s="61"/>
      <c r="Z1326" s="61"/>
      <c r="AA1326" s="61"/>
      <c r="AB1326" s="61"/>
      <c r="AC1326" s="61"/>
    </row>
    <row r="1327" ht="15.75" customHeight="1">
      <c r="A1327" s="61"/>
      <c r="B1327" s="61"/>
      <c r="C1327" s="61"/>
      <c r="D1327" s="61"/>
      <c r="E1327" s="61"/>
      <c r="F1327" s="61"/>
      <c r="G1327" s="61"/>
      <c r="H1327" s="61"/>
      <c r="I1327" s="61"/>
      <c r="J1327" s="61"/>
      <c r="K1327" s="61"/>
      <c r="L1327" s="61"/>
      <c r="M1327" s="61"/>
      <c r="N1327" s="61"/>
      <c r="O1327" s="61"/>
      <c r="P1327" s="61"/>
      <c r="Q1327" s="61"/>
      <c r="R1327" s="61"/>
      <c r="S1327" s="61"/>
      <c r="T1327" s="61"/>
      <c r="U1327" s="61"/>
      <c r="V1327" s="61"/>
      <c r="W1327" s="61"/>
      <c r="X1327" s="61"/>
      <c r="Y1327" s="61"/>
      <c r="Z1327" s="61"/>
      <c r="AA1327" s="61"/>
      <c r="AB1327" s="61"/>
      <c r="AC1327" s="61"/>
    </row>
    <row r="1328" ht="15.75" customHeight="1">
      <c r="A1328" s="61"/>
      <c r="B1328" s="61"/>
      <c r="C1328" s="61"/>
      <c r="D1328" s="61"/>
      <c r="E1328" s="61"/>
      <c r="F1328" s="61"/>
      <c r="G1328" s="61"/>
      <c r="H1328" s="61"/>
      <c r="I1328" s="61"/>
      <c r="J1328" s="61"/>
      <c r="K1328" s="61"/>
      <c r="L1328" s="61"/>
      <c r="M1328" s="61"/>
      <c r="N1328" s="61"/>
      <c r="O1328" s="61"/>
      <c r="P1328" s="61"/>
      <c r="Q1328" s="61"/>
      <c r="R1328" s="61"/>
      <c r="S1328" s="61"/>
      <c r="T1328" s="61"/>
      <c r="U1328" s="61"/>
      <c r="V1328" s="61"/>
      <c r="W1328" s="61"/>
      <c r="X1328" s="61"/>
      <c r="Y1328" s="61"/>
      <c r="Z1328" s="61"/>
      <c r="AA1328" s="61"/>
      <c r="AB1328" s="61"/>
      <c r="AC1328" s="61"/>
    </row>
    <row r="1329" ht="15.75" customHeight="1">
      <c r="A1329" s="61"/>
      <c r="B1329" s="61"/>
      <c r="C1329" s="61"/>
      <c r="D1329" s="61"/>
      <c r="E1329" s="61"/>
      <c r="F1329" s="61"/>
      <c r="G1329" s="61"/>
      <c r="H1329" s="61"/>
      <c r="I1329" s="61"/>
      <c r="J1329" s="61"/>
      <c r="K1329" s="61"/>
      <c r="L1329" s="61"/>
      <c r="M1329" s="61"/>
      <c r="N1329" s="61"/>
      <c r="O1329" s="61"/>
      <c r="P1329" s="61"/>
      <c r="Q1329" s="61"/>
      <c r="R1329" s="61"/>
      <c r="S1329" s="61"/>
      <c r="T1329" s="61"/>
      <c r="U1329" s="61"/>
      <c r="V1329" s="61"/>
      <c r="W1329" s="61"/>
      <c r="X1329" s="61"/>
      <c r="Y1329" s="61"/>
      <c r="Z1329" s="61"/>
      <c r="AA1329" s="61"/>
      <c r="AB1329" s="61"/>
      <c r="AC1329" s="61"/>
    </row>
    <row r="1330" ht="15.75" customHeight="1">
      <c r="A1330" s="61"/>
      <c r="B1330" s="61"/>
      <c r="C1330" s="61"/>
      <c r="D1330" s="61"/>
      <c r="E1330" s="61"/>
      <c r="F1330" s="61"/>
      <c r="G1330" s="61"/>
      <c r="H1330" s="61"/>
      <c r="I1330" s="61"/>
      <c r="J1330" s="61"/>
      <c r="K1330" s="61"/>
      <c r="L1330" s="61"/>
      <c r="M1330" s="61"/>
      <c r="N1330" s="61"/>
      <c r="O1330" s="61"/>
      <c r="P1330" s="61"/>
      <c r="Q1330" s="61"/>
      <c r="R1330" s="61"/>
      <c r="S1330" s="61"/>
      <c r="T1330" s="61"/>
      <c r="U1330" s="61"/>
      <c r="V1330" s="61"/>
      <c r="W1330" s="61"/>
      <c r="X1330" s="61"/>
      <c r="Y1330" s="61"/>
      <c r="Z1330" s="61"/>
      <c r="AA1330" s="61"/>
      <c r="AB1330" s="61"/>
      <c r="AC1330" s="61"/>
    </row>
    <row r="1331" ht="15.75" customHeight="1">
      <c r="A1331" s="61"/>
      <c r="B1331" s="61"/>
      <c r="C1331" s="61"/>
      <c r="D1331" s="61"/>
      <c r="E1331" s="61"/>
      <c r="F1331" s="61"/>
      <c r="G1331" s="61"/>
      <c r="H1331" s="61"/>
      <c r="I1331" s="61"/>
      <c r="J1331" s="61"/>
      <c r="K1331" s="61"/>
      <c r="L1331" s="61"/>
      <c r="M1331" s="61"/>
      <c r="N1331" s="61"/>
      <c r="O1331" s="61"/>
      <c r="P1331" s="61"/>
      <c r="Q1331" s="61"/>
      <c r="R1331" s="61"/>
      <c r="S1331" s="61"/>
      <c r="T1331" s="61"/>
      <c r="U1331" s="61"/>
      <c r="V1331" s="61"/>
      <c r="W1331" s="61"/>
      <c r="X1331" s="61"/>
      <c r="Y1331" s="61"/>
      <c r="Z1331" s="61"/>
      <c r="AA1331" s="61"/>
      <c r="AB1331" s="61"/>
      <c r="AC1331" s="61"/>
    </row>
    <row r="1332" ht="15.75" customHeight="1">
      <c r="A1332" s="61"/>
      <c r="B1332" s="61"/>
      <c r="C1332" s="61"/>
      <c r="D1332" s="61"/>
      <c r="E1332" s="61"/>
      <c r="F1332" s="61"/>
      <c r="G1332" s="61"/>
      <c r="H1332" s="61"/>
      <c r="I1332" s="61"/>
      <c r="J1332" s="61"/>
      <c r="K1332" s="61"/>
      <c r="L1332" s="61"/>
      <c r="M1332" s="61"/>
      <c r="N1332" s="61"/>
      <c r="O1332" s="61"/>
      <c r="P1332" s="61"/>
      <c r="Q1332" s="61"/>
      <c r="R1332" s="61"/>
      <c r="S1332" s="61"/>
      <c r="T1332" s="61"/>
      <c r="U1332" s="61"/>
      <c r="V1332" s="61"/>
      <c r="W1332" s="61"/>
      <c r="X1332" s="61"/>
      <c r="Y1332" s="61"/>
      <c r="Z1332" s="61"/>
      <c r="AA1332" s="61"/>
      <c r="AB1332" s="61"/>
      <c r="AC1332" s="61"/>
    </row>
    <row r="1333" ht="15.75" customHeight="1">
      <c r="A1333" s="61"/>
      <c r="B1333" s="61"/>
      <c r="C1333" s="61"/>
      <c r="D1333" s="61"/>
      <c r="E1333" s="61"/>
      <c r="F1333" s="61"/>
      <c r="G1333" s="61"/>
      <c r="H1333" s="61"/>
      <c r="I1333" s="61"/>
      <c r="J1333" s="61"/>
      <c r="K1333" s="61"/>
      <c r="L1333" s="61"/>
      <c r="M1333" s="61"/>
      <c r="N1333" s="61"/>
      <c r="O1333" s="61"/>
      <c r="P1333" s="61"/>
      <c r="Q1333" s="61"/>
      <c r="R1333" s="61"/>
      <c r="S1333" s="61"/>
      <c r="T1333" s="61"/>
      <c r="U1333" s="61"/>
      <c r="V1333" s="61"/>
      <c r="W1333" s="61"/>
      <c r="X1333" s="61"/>
      <c r="Y1333" s="61"/>
      <c r="Z1333" s="61"/>
      <c r="AA1333" s="61"/>
      <c r="AB1333" s="61"/>
      <c r="AC1333" s="61"/>
    </row>
    <row r="1334" ht="15.75" customHeight="1">
      <c r="A1334" s="61"/>
      <c r="B1334" s="61"/>
      <c r="C1334" s="61"/>
      <c r="D1334" s="61"/>
      <c r="E1334" s="61"/>
      <c r="F1334" s="61"/>
      <c r="G1334" s="61"/>
      <c r="H1334" s="61"/>
      <c r="I1334" s="61"/>
      <c r="J1334" s="61"/>
      <c r="K1334" s="61"/>
      <c r="L1334" s="61"/>
      <c r="M1334" s="61"/>
      <c r="N1334" s="61"/>
      <c r="O1334" s="61"/>
      <c r="P1334" s="61"/>
      <c r="Q1334" s="61"/>
      <c r="R1334" s="61"/>
      <c r="S1334" s="61"/>
      <c r="T1334" s="61"/>
      <c r="U1334" s="61"/>
      <c r="V1334" s="61"/>
      <c r="W1334" s="61"/>
      <c r="X1334" s="61"/>
      <c r="Y1334" s="61"/>
      <c r="Z1334" s="61"/>
      <c r="AA1334" s="61"/>
      <c r="AB1334" s="61"/>
      <c r="AC1334" s="61"/>
    </row>
    <row r="1335" ht="15.75" customHeight="1">
      <c r="A1335" s="61"/>
      <c r="B1335" s="61"/>
      <c r="C1335" s="61"/>
      <c r="D1335" s="61"/>
      <c r="E1335" s="61"/>
      <c r="F1335" s="61"/>
      <c r="G1335" s="61"/>
      <c r="H1335" s="61"/>
      <c r="I1335" s="61"/>
      <c r="J1335" s="61"/>
      <c r="K1335" s="61"/>
      <c r="L1335" s="61"/>
      <c r="M1335" s="61"/>
      <c r="N1335" s="61"/>
      <c r="O1335" s="61"/>
      <c r="P1335" s="61"/>
      <c r="Q1335" s="61"/>
      <c r="R1335" s="61"/>
      <c r="S1335" s="61"/>
      <c r="T1335" s="61"/>
      <c r="U1335" s="61"/>
      <c r="V1335" s="61"/>
      <c r="W1335" s="61"/>
      <c r="X1335" s="61"/>
      <c r="Y1335" s="61"/>
      <c r="Z1335" s="61"/>
      <c r="AA1335" s="61"/>
      <c r="AB1335" s="61"/>
      <c r="AC1335" s="61"/>
    </row>
    <row r="1336" ht="15.75" customHeight="1">
      <c r="A1336" s="61"/>
      <c r="B1336" s="61"/>
      <c r="C1336" s="61"/>
      <c r="D1336" s="61"/>
      <c r="E1336" s="61"/>
      <c r="F1336" s="61"/>
      <c r="G1336" s="61"/>
      <c r="H1336" s="61"/>
      <c r="I1336" s="61"/>
      <c r="J1336" s="61"/>
      <c r="K1336" s="61"/>
      <c r="L1336" s="61"/>
      <c r="M1336" s="61"/>
      <c r="N1336" s="61"/>
      <c r="O1336" s="61"/>
      <c r="P1336" s="61"/>
      <c r="Q1336" s="61"/>
      <c r="R1336" s="61"/>
      <c r="S1336" s="61"/>
      <c r="T1336" s="61"/>
      <c r="U1336" s="61"/>
      <c r="V1336" s="61"/>
      <c r="W1336" s="61"/>
      <c r="X1336" s="61"/>
      <c r="Y1336" s="61"/>
      <c r="Z1336" s="61"/>
      <c r="AA1336" s="61"/>
      <c r="AB1336" s="61"/>
      <c r="AC1336" s="61"/>
    </row>
    <row r="1337" ht="15.75" customHeight="1">
      <c r="A1337" s="61"/>
      <c r="B1337" s="61"/>
      <c r="C1337" s="61"/>
      <c r="D1337" s="61"/>
      <c r="E1337" s="61"/>
      <c r="F1337" s="61"/>
      <c r="G1337" s="61"/>
      <c r="H1337" s="61"/>
      <c r="I1337" s="61"/>
      <c r="J1337" s="61"/>
      <c r="K1337" s="61"/>
      <c r="L1337" s="61"/>
      <c r="M1337" s="61"/>
      <c r="N1337" s="61"/>
      <c r="O1337" s="61"/>
      <c r="P1337" s="61"/>
      <c r="Q1337" s="61"/>
      <c r="R1337" s="61"/>
      <c r="S1337" s="61"/>
      <c r="T1337" s="61"/>
      <c r="U1337" s="61"/>
      <c r="V1337" s="61"/>
      <c r="W1337" s="61"/>
      <c r="X1337" s="61"/>
      <c r="Y1337" s="61"/>
      <c r="Z1337" s="61"/>
      <c r="AA1337" s="61"/>
      <c r="AB1337" s="61"/>
      <c r="AC1337" s="61"/>
    </row>
    <row r="1338" ht="15.75" customHeight="1">
      <c r="A1338" s="61"/>
      <c r="B1338" s="61"/>
      <c r="C1338" s="61"/>
      <c r="D1338" s="61"/>
      <c r="E1338" s="61"/>
      <c r="F1338" s="61"/>
      <c r="G1338" s="61"/>
      <c r="H1338" s="61"/>
      <c r="I1338" s="61"/>
      <c r="J1338" s="61"/>
      <c r="K1338" s="61"/>
      <c r="L1338" s="61"/>
      <c r="M1338" s="61"/>
      <c r="N1338" s="61"/>
      <c r="O1338" s="61"/>
      <c r="P1338" s="61"/>
      <c r="Q1338" s="61"/>
      <c r="R1338" s="61"/>
      <c r="S1338" s="61"/>
      <c r="T1338" s="61"/>
      <c r="U1338" s="61"/>
      <c r="V1338" s="61"/>
      <c r="W1338" s="61"/>
      <c r="X1338" s="61"/>
      <c r="Y1338" s="61"/>
      <c r="Z1338" s="61"/>
      <c r="AA1338" s="61"/>
      <c r="AB1338" s="61"/>
      <c r="AC1338" s="61"/>
    </row>
    <row r="1339" ht="15.75" customHeight="1">
      <c r="A1339" s="61"/>
      <c r="B1339" s="61"/>
      <c r="C1339" s="61"/>
      <c r="D1339" s="61"/>
      <c r="E1339" s="61"/>
      <c r="F1339" s="61"/>
      <c r="G1339" s="61"/>
      <c r="H1339" s="61"/>
      <c r="I1339" s="61"/>
      <c r="J1339" s="61"/>
      <c r="K1339" s="61"/>
      <c r="L1339" s="61"/>
      <c r="M1339" s="61"/>
      <c r="N1339" s="61"/>
      <c r="O1339" s="61"/>
      <c r="P1339" s="61"/>
      <c r="Q1339" s="61"/>
      <c r="R1339" s="61"/>
      <c r="S1339" s="61"/>
      <c r="T1339" s="61"/>
      <c r="U1339" s="61"/>
      <c r="V1339" s="61"/>
      <c r="W1339" s="61"/>
      <c r="X1339" s="61"/>
      <c r="Y1339" s="61"/>
      <c r="Z1339" s="61"/>
      <c r="AA1339" s="61"/>
      <c r="AB1339" s="61"/>
      <c r="AC1339" s="61"/>
    </row>
    <row r="1340" ht="15.75" customHeight="1">
      <c r="A1340" s="61"/>
      <c r="B1340" s="61"/>
      <c r="C1340" s="61"/>
      <c r="D1340" s="61"/>
      <c r="E1340" s="61"/>
      <c r="F1340" s="61"/>
      <c r="G1340" s="61"/>
      <c r="H1340" s="61"/>
      <c r="I1340" s="61"/>
      <c r="J1340" s="61"/>
      <c r="K1340" s="61"/>
      <c r="L1340" s="61"/>
      <c r="M1340" s="61"/>
      <c r="N1340" s="61"/>
      <c r="O1340" s="61"/>
      <c r="P1340" s="61"/>
      <c r="Q1340" s="61"/>
      <c r="R1340" s="61"/>
      <c r="S1340" s="61"/>
      <c r="T1340" s="61"/>
      <c r="U1340" s="61"/>
      <c r="V1340" s="61"/>
      <c r="W1340" s="61"/>
      <c r="X1340" s="61"/>
      <c r="Y1340" s="61"/>
      <c r="Z1340" s="61"/>
      <c r="AA1340" s="61"/>
      <c r="AB1340" s="61"/>
      <c r="AC1340" s="61"/>
    </row>
    <row r="1341" ht="15.75" customHeight="1">
      <c r="A1341" s="61"/>
      <c r="B1341" s="61"/>
      <c r="C1341" s="61"/>
      <c r="D1341" s="61"/>
      <c r="E1341" s="61"/>
      <c r="F1341" s="61"/>
      <c r="G1341" s="61"/>
      <c r="H1341" s="61"/>
      <c r="I1341" s="61"/>
      <c r="J1341" s="61"/>
      <c r="K1341" s="61"/>
      <c r="L1341" s="61"/>
      <c r="M1341" s="61"/>
      <c r="N1341" s="61"/>
      <c r="O1341" s="61"/>
      <c r="P1341" s="61"/>
      <c r="Q1341" s="61"/>
      <c r="R1341" s="61"/>
      <c r="S1341" s="61"/>
      <c r="T1341" s="61"/>
      <c r="U1341" s="61"/>
      <c r="V1341" s="61"/>
      <c r="W1341" s="61"/>
      <c r="X1341" s="61"/>
      <c r="Y1341" s="61"/>
      <c r="Z1341" s="61"/>
      <c r="AA1341" s="61"/>
      <c r="AB1341" s="61"/>
      <c r="AC1341" s="61"/>
    </row>
    <row r="1342" ht="15.75" customHeight="1">
      <c r="A1342" s="61"/>
      <c r="B1342" s="61"/>
      <c r="C1342" s="61"/>
      <c r="D1342" s="61"/>
      <c r="E1342" s="61"/>
      <c r="F1342" s="61"/>
      <c r="G1342" s="61"/>
      <c r="H1342" s="61"/>
      <c r="I1342" s="61"/>
      <c r="J1342" s="61"/>
      <c r="K1342" s="61"/>
      <c r="L1342" s="61"/>
      <c r="M1342" s="61"/>
      <c r="N1342" s="61"/>
      <c r="O1342" s="61"/>
      <c r="P1342" s="61"/>
      <c r="Q1342" s="61"/>
      <c r="R1342" s="61"/>
      <c r="S1342" s="61"/>
      <c r="T1342" s="61"/>
      <c r="U1342" s="61"/>
      <c r="V1342" s="61"/>
      <c r="W1342" s="61"/>
      <c r="X1342" s="61"/>
      <c r="Y1342" s="61"/>
      <c r="Z1342" s="61"/>
      <c r="AA1342" s="61"/>
      <c r="AB1342" s="61"/>
      <c r="AC1342" s="61"/>
    </row>
    <row r="1343" ht="15.75" customHeight="1">
      <c r="A1343" s="61"/>
      <c r="B1343" s="61"/>
      <c r="C1343" s="61"/>
      <c r="D1343" s="61"/>
      <c r="E1343" s="61"/>
      <c r="F1343" s="61"/>
      <c r="G1343" s="61"/>
      <c r="H1343" s="61"/>
      <c r="I1343" s="61"/>
      <c r="J1343" s="61"/>
      <c r="K1343" s="61"/>
      <c r="L1343" s="61"/>
      <c r="M1343" s="61"/>
      <c r="N1343" s="61"/>
      <c r="O1343" s="61"/>
      <c r="P1343" s="61"/>
      <c r="Q1343" s="61"/>
      <c r="R1343" s="61"/>
      <c r="S1343" s="61"/>
      <c r="T1343" s="61"/>
      <c r="U1343" s="61"/>
      <c r="V1343" s="61"/>
      <c r="W1343" s="61"/>
      <c r="X1343" s="61"/>
      <c r="Y1343" s="61"/>
      <c r="Z1343" s="61"/>
      <c r="AA1343" s="61"/>
      <c r="AB1343" s="61"/>
      <c r="AC1343" s="61"/>
    </row>
    <row r="1344" ht="15.75" customHeight="1">
      <c r="A1344" s="61"/>
      <c r="B1344" s="61"/>
      <c r="C1344" s="61"/>
      <c r="D1344" s="61"/>
      <c r="E1344" s="61"/>
      <c r="F1344" s="61"/>
      <c r="G1344" s="61"/>
      <c r="H1344" s="61"/>
      <c r="I1344" s="61"/>
      <c r="J1344" s="61"/>
      <c r="K1344" s="61"/>
      <c r="L1344" s="61"/>
      <c r="M1344" s="61"/>
      <c r="N1344" s="61"/>
      <c r="O1344" s="61"/>
      <c r="P1344" s="61"/>
      <c r="Q1344" s="61"/>
      <c r="R1344" s="61"/>
      <c r="S1344" s="61"/>
      <c r="T1344" s="61"/>
      <c r="U1344" s="61"/>
      <c r="V1344" s="61"/>
      <c r="W1344" s="61"/>
      <c r="X1344" s="61"/>
      <c r="Y1344" s="61"/>
      <c r="Z1344" s="61"/>
      <c r="AA1344" s="61"/>
      <c r="AB1344" s="61"/>
      <c r="AC1344" s="61"/>
    </row>
    <row r="1345" ht="15.75" customHeight="1">
      <c r="A1345" s="61"/>
      <c r="B1345" s="61"/>
      <c r="C1345" s="61"/>
      <c r="D1345" s="61"/>
      <c r="E1345" s="61"/>
      <c r="F1345" s="61"/>
      <c r="G1345" s="61"/>
      <c r="H1345" s="61"/>
      <c r="I1345" s="61"/>
      <c r="J1345" s="61"/>
      <c r="K1345" s="61"/>
      <c r="L1345" s="61"/>
      <c r="M1345" s="61"/>
      <c r="N1345" s="61"/>
      <c r="O1345" s="61"/>
      <c r="P1345" s="61"/>
      <c r="Q1345" s="61"/>
      <c r="R1345" s="61"/>
      <c r="S1345" s="61"/>
      <c r="T1345" s="61"/>
      <c r="U1345" s="61"/>
      <c r="V1345" s="61"/>
      <c r="W1345" s="61"/>
      <c r="X1345" s="61"/>
      <c r="Y1345" s="61"/>
      <c r="Z1345" s="61"/>
      <c r="AA1345" s="61"/>
      <c r="AB1345" s="61"/>
      <c r="AC1345" s="61"/>
    </row>
    <row r="1346" ht="15.75" customHeight="1">
      <c r="A1346" s="61"/>
      <c r="B1346" s="61"/>
      <c r="C1346" s="61"/>
      <c r="D1346" s="61"/>
      <c r="E1346" s="61"/>
      <c r="F1346" s="61"/>
      <c r="G1346" s="61"/>
      <c r="H1346" s="61"/>
      <c r="I1346" s="61"/>
      <c r="J1346" s="61"/>
      <c r="K1346" s="61"/>
      <c r="L1346" s="61"/>
      <c r="M1346" s="61"/>
      <c r="N1346" s="61"/>
      <c r="O1346" s="61"/>
      <c r="P1346" s="61"/>
      <c r="Q1346" s="61"/>
      <c r="R1346" s="61"/>
      <c r="S1346" s="61"/>
      <c r="T1346" s="61"/>
      <c r="U1346" s="61"/>
      <c r="V1346" s="61"/>
      <c r="W1346" s="61"/>
      <c r="X1346" s="61"/>
      <c r="Y1346" s="61"/>
      <c r="Z1346" s="61"/>
      <c r="AA1346" s="61"/>
      <c r="AB1346" s="61"/>
      <c r="AC1346" s="61"/>
    </row>
    <row r="1347" ht="15.75" customHeight="1">
      <c r="A1347" s="61"/>
      <c r="B1347" s="61"/>
      <c r="C1347" s="61"/>
      <c r="D1347" s="61"/>
      <c r="E1347" s="61"/>
      <c r="F1347" s="61"/>
      <c r="G1347" s="61"/>
      <c r="H1347" s="61"/>
      <c r="I1347" s="61"/>
      <c r="J1347" s="61"/>
      <c r="K1347" s="61"/>
      <c r="L1347" s="61"/>
      <c r="M1347" s="61"/>
      <c r="N1347" s="61"/>
      <c r="O1347" s="61"/>
      <c r="P1347" s="61"/>
      <c r="Q1347" s="61"/>
      <c r="R1347" s="61"/>
      <c r="S1347" s="61"/>
      <c r="T1347" s="61"/>
      <c r="U1347" s="61"/>
      <c r="V1347" s="61"/>
      <c r="W1347" s="61"/>
      <c r="X1347" s="61"/>
      <c r="Y1347" s="61"/>
      <c r="Z1347" s="61"/>
      <c r="AA1347" s="61"/>
      <c r="AB1347" s="61"/>
      <c r="AC1347" s="61"/>
    </row>
    <row r="1348" ht="15.75" customHeight="1">
      <c r="A1348" s="61"/>
      <c r="B1348" s="61"/>
      <c r="C1348" s="61"/>
      <c r="D1348" s="61"/>
      <c r="E1348" s="61"/>
      <c r="F1348" s="61"/>
      <c r="G1348" s="61"/>
      <c r="H1348" s="61"/>
      <c r="I1348" s="61"/>
      <c r="J1348" s="61"/>
      <c r="K1348" s="61"/>
      <c r="L1348" s="61"/>
      <c r="M1348" s="61"/>
      <c r="N1348" s="61"/>
      <c r="O1348" s="61"/>
      <c r="P1348" s="61"/>
      <c r="Q1348" s="61"/>
      <c r="R1348" s="61"/>
      <c r="S1348" s="61"/>
      <c r="T1348" s="61"/>
      <c r="U1348" s="61"/>
      <c r="V1348" s="61"/>
      <c r="W1348" s="61"/>
      <c r="X1348" s="61"/>
      <c r="Y1348" s="61"/>
      <c r="Z1348" s="61"/>
      <c r="AA1348" s="61"/>
      <c r="AB1348" s="61"/>
      <c r="AC1348" s="61"/>
    </row>
    <row r="1349" ht="15.75" customHeight="1">
      <c r="A1349" s="61"/>
      <c r="B1349" s="61"/>
      <c r="C1349" s="61"/>
      <c r="D1349" s="61"/>
      <c r="E1349" s="61"/>
      <c r="F1349" s="61"/>
      <c r="G1349" s="61"/>
      <c r="H1349" s="61"/>
      <c r="I1349" s="61"/>
      <c r="J1349" s="61"/>
      <c r="K1349" s="61"/>
      <c r="L1349" s="61"/>
      <c r="M1349" s="61"/>
      <c r="N1349" s="61"/>
      <c r="O1349" s="61"/>
      <c r="P1349" s="61"/>
      <c r="Q1349" s="61"/>
      <c r="R1349" s="61"/>
      <c r="S1349" s="61"/>
      <c r="T1349" s="61"/>
      <c r="U1349" s="61"/>
      <c r="V1349" s="61"/>
      <c r="W1349" s="61"/>
      <c r="X1349" s="61"/>
      <c r="Y1349" s="61"/>
      <c r="Z1349" s="61"/>
      <c r="AA1349" s="61"/>
      <c r="AB1349" s="61"/>
      <c r="AC1349" s="61"/>
    </row>
    <row r="1350" ht="15.75" customHeight="1">
      <c r="A1350" s="61"/>
      <c r="B1350" s="61"/>
      <c r="C1350" s="61"/>
      <c r="D1350" s="61"/>
      <c r="E1350" s="61"/>
      <c r="F1350" s="61"/>
      <c r="G1350" s="61"/>
      <c r="H1350" s="61"/>
      <c r="I1350" s="61"/>
      <c r="J1350" s="61"/>
      <c r="K1350" s="61"/>
      <c r="L1350" s="61"/>
      <c r="M1350" s="61"/>
      <c r="N1350" s="61"/>
      <c r="O1350" s="61"/>
      <c r="P1350" s="61"/>
      <c r="Q1350" s="61"/>
      <c r="R1350" s="61"/>
      <c r="S1350" s="61"/>
      <c r="T1350" s="61"/>
      <c r="U1350" s="61"/>
      <c r="V1350" s="61"/>
      <c r="W1350" s="61"/>
      <c r="X1350" s="61"/>
      <c r="Y1350" s="61"/>
      <c r="Z1350" s="61"/>
      <c r="AA1350" s="61"/>
      <c r="AB1350" s="61"/>
      <c r="AC1350" s="61"/>
    </row>
    <row r="1351" ht="15.75" customHeight="1">
      <c r="A1351" s="61"/>
      <c r="B1351" s="61"/>
      <c r="C1351" s="61"/>
      <c r="D1351" s="61"/>
      <c r="E1351" s="61"/>
      <c r="F1351" s="61"/>
      <c r="G1351" s="61"/>
      <c r="H1351" s="61"/>
      <c r="I1351" s="61"/>
      <c r="J1351" s="61"/>
      <c r="K1351" s="61"/>
      <c r="L1351" s="61"/>
      <c r="M1351" s="61"/>
      <c r="N1351" s="61"/>
      <c r="O1351" s="61"/>
      <c r="P1351" s="61"/>
      <c r="Q1351" s="61"/>
      <c r="R1351" s="61"/>
      <c r="S1351" s="61"/>
      <c r="T1351" s="61"/>
      <c r="U1351" s="61"/>
      <c r="V1351" s="61"/>
      <c r="W1351" s="61"/>
      <c r="X1351" s="61"/>
      <c r="Y1351" s="61"/>
      <c r="Z1351" s="61"/>
      <c r="AA1351" s="61"/>
      <c r="AB1351" s="61"/>
      <c r="AC1351" s="61"/>
    </row>
    <row r="1352" ht="15.75" customHeight="1">
      <c r="A1352" s="61"/>
      <c r="B1352" s="61"/>
      <c r="C1352" s="61"/>
      <c r="D1352" s="61"/>
      <c r="E1352" s="61"/>
      <c r="F1352" s="61"/>
      <c r="G1352" s="61"/>
      <c r="H1352" s="61"/>
      <c r="I1352" s="61"/>
      <c r="J1352" s="61"/>
      <c r="K1352" s="61"/>
      <c r="L1352" s="61"/>
      <c r="M1352" s="61"/>
      <c r="N1352" s="61"/>
      <c r="O1352" s="61"/>
      <c r="P1352" s="61"/>
      <c r="Q1352" s="61"/>
      <c r="R1352" s="61"/>
      <c r="S1352" s="61"/>
      <c r="T1352" s="61"/>
      <c r="U1352" s="61"/>
      <c r="V1352" s="61"/>
      <c r="W1352" s="61"/>
      <c r="X1352" s="61"/>
      <c r="Y1352" s="61"/>
      <c r="Z1352" s="61"/>
      <c r="AA1352" s="61"/>
      <c r="AB1352" s="61"/>
      <c r="AC1352" s="61"/>
    </row>
    <row r="1353" ht="15.75" customHeight="1">
      <c r="A1353" s="61"/>
      <c r="B1353" s="61"/>
      <c r="C1353" s="61"/>
      <c r="D1353" s="61"/>
      <c r="E1353" s="61"/>
      <c r="F1353" s="61"/>
      <c r="G1353" s="61"/>
      <c r="H1353" s="61"/>
      <c r="I1353" s="61"/>
      <c r="J1353" s="61"/>
      <c r="K1353" s="61"/>
      <c r="L1353" s="61"/>
      <c r="M1353" s="61"/>
      <c r="N1353" s="61"/>
      <c r="O1353" s="61"/>
      <c r="P1353" s="61"/>
      <c r="Q1353" s="61"/>
      <c r="R1353" s="61"/>
      <c r="S1353" s="61"/>
      <c r="T1353" s="61"/>
      <c r="U1353" s="61"/>
      <c r="V1353" s="61"/>
      <c r="W1353" s="61"/>
      <c r="X1353" s="61"/>
      <c r="Y1353" s="61"/>
      <c r="Z1353" s="61"/>
      <c r="AA1353" s="61"/>
      <c r="AB1353" s="61"/>
      <c r="AC1353" s="61"/>
    </row>
    <row r="1354" ht="15.75" customHeight="1">
      <c r="A1354" s="61"/>
      <c r="B1354" s="61"/>
      <c r="C1354" s="61"/>
      <c r="D1354" s="61"/>
      <c r="E1354" s="61"/>
      <c r="F1354" s="61"/>
      <c r="G1354" s="61"/>
      <c r="H1354" s="61"/>
      <c r="I1354" s="61"/>
      <c r="J1354" s="61"/>
      <c r="K1354" s="61"/>
      <c r="L1354" s="61"/>
      <c r="M1354" s="61"/>
      <c r="N1354" s="61"/>
      <c r="O1354" s="61"/>
      <c r="P1354" s="61"/>
      <c r="Q1354" s="61"/>
      <c r="R1354" s="61"/>
      <c r="S1354" s="61"/>
      <c r="T1354" s="61"/>
      <c r="U1354" s="61"/>
      <c r="V1354" s="61"/>
      <c r="W1354" s="61"/>
      <c r="X1354" s="61"/>
      <c r="Y1354" s="61"/>
      <c r="Z1354" s="61"/>
      <c r="AA1354" s="61"/>
      <c r="AB1354" s="61"/>
      <c r="AC1354" s="61"/>
    </row>
    <row r="1355" ht="15.75" customHeight="1">
      <c r="A1355" s="61"/>
      <c r="B1355" s="61"/>
      <c r="C1355" s="61"/>
      <c r="D1355" s="61"/>
      <c r="E1355" s="61"/>
      <c r="F1355" s="61"/>
      <c r="G1355" s="61"/>
      <c r="H1355" s="61"/>
      <c r="I1355" s="61"/>
      <c r="J1355" s="61"/>
      <c r="K1355" s="61"/>
      <c r="L1355" s="61"/>
      <c r="M1355" s="61"/>
      <c r="N1355" s="61"/>
      <c r="O1355" s="61"/>
      <c r="P1355" s="61"/>
      <c r="Q1355" s="61"/>
      <c r="R1355" s="61"/>
      <c r="S1355" s="61"/>
      <c r="T1355" s="61"/>
      <c r="U1355" s="61"/>
      <c r="V1355" s="61"/>
      <c r="W1355" s="61"/>
      <c r="X1355" s="61"/>
      <c r="Y1355" s="61"/>
      <c r="Z1355" s="61"/>
      <c r="AA1355" s="61"/>
      <c r="AB1355" s="61"/>
      <c r="AC1355" s="61"/>
    </row>
    <row r="1356" ht="15.75" customHeight="1">
      <c r="A1356" s="61"/>
      <c r="B1356" s="61"/>
      <c r="C1356" s="61"/>
      <c r="D1356" s="61"/>
      <c r="E1356" s="61"/>
      <c r="F1356" s="61"/>
      <c r="G1356" s="61"/>
      <c r="H1356" s="61"/>
      <c r="I1356" s="61"/>
      <c r="J1356" s="61"/>
      <c r="K1356" s="61"/>
      <c r="L1356" s="61"/>
      <c r="M1356" s="61"/>
      <c r="N1356" s="61"/>
      <c r="O1356" s="61"/>
      <c r="P1356" s="61"/>
      <c r="Q1356" s="61"/>
      <c r="R1356" s="61"/>
      <c r="S1356" s="61"/>
      <c r="T1356" s="61"/>
      <c r="U1356" s="61"/>
      <c r="V1356" s="61"/>
      <c r="W1356" s="61"/>
      <c r="X1356" s="61"/>
      <c r="Y1356" s="61"/>
      <c r="Z1356" s="61"/>
      <c r="AA1356" s="61"/>
      <c r="AB1356" s="61"/>
      <c r="AC1356" s="61"/>
    </row>
    <row r="1357" ht="15.75" customHeight="1">
      <c r="A1357" s="61"/>
      <c r="B1357" s="61"/>
      <c r="C1357" s="61"/>
      <c r="D1357" s="61"/>
      <c r="E1357" s="61"/>
      <c r="F1357" s="61"/>
      <c r="G1357" s="61"/>
      <c r="H1357" s="61"/>
      <c r="I1357" s="61"/>
      <c r="J1357" s="61"/>
      <c r="K1357" s="61"/>
      <c r="L1357" s="61"/>
      <c r="M1357" s="61"/>
      <c r="N1357" s="61"/>
      <c r="O1357" s="61"/>
      <c r="P1357" s="61"/>
      <c r="Q1357" s="61"/>
      <c r="R1357" s="61"/>
      <c r="S1357" s="61"/>
      <c r="T1357" s="61"/>
      <c r="U1357" s="61"/>
      <c r="V1357" s="61"/>
      <c r="W1357" s="61"/>
      <c r="X1357" s="61"/>
      <c r="Y1357" s="61"/>
      <c r="Z1357" s="61"/>
      <c r="AA1357" s="61"/>
      <c r="AB1357" s="61"/>
      <c r="AC1357" s="61"/>
    </row>
    <row r="1358" ht="15.75" customHeight="1">
      <c r="A1358" s="61"/>
      <c r="B1358" s="61"/>
      <c r="C1358" s="61"/>
      <c r="D1358" s="61"/>
      <c r="E1358" s="61"/>
      <c r="F1358" s="61"/>
      <c r="G1358" s="61"/>
      <c r="H1358" s="61"/>
      <c r="I1358" s="61"/>
      <c r="J1358" s="61"/>
      <c r="K1358" s="61"/>
      <c r="L1358" s="61"/>
      <c r="M1358" s="61"/>
      <c r="N1358" s="61"/>
      <c r="O1358" s="61"/>
      <c r="P1358" s="61"/>
      <c r="Q1358" s="61"/>
      <c r="R1358" s="61"/>
      <c r="S1358" s="61"/>
      <c r="T1358" s="61"/>
      <c r="U1358" s="61"/>
      <c r="V1358" s="61"/>
      <c r="W1358" s="61"/>
      <c r="X1358" s="61"/>
      <c r="Y1358" s="61"/>
      <c r="Z1358" s="61"/>
      <c r="AA1358" s="61"/>
      <c r="AB1358" s="61"/>
      <c r="AC1358" s="61"/>
    </row>
    <row r="1359" ht="15.75" customHeight="1">
      <c r="A1359" s="61"/>
      <c r="B1359" s="61"/>
      <c r="C1359" s="61"/>
      <c r="D1359" s="61"/>
      <c r="E1359" s="61"/>
      <c r="F1359" s="61"/>
      <c r="G1359" s="61"/>
      <c r="H1359" s="61"/>
      <c r="I1359" s="61"/>
      <c r="J1359" s="61"/>
      <c r="K1359" s="61"/>
      <c r="L1359" s="61"/>
      <c r="M1359" s="61"/>
      <c r="N1359" s="61"/>
      <c r="O1359" s="61"/>
      <c r="P1359" s="61"/>
      <c r="Q1359" s="61"/>
      <c r="R1359" s="61"/>
      <c r="S1359" s="61"/>
      <c r="T1359" s="61"/>
      <c r="U1359" s="61"/>
      <c r="V1359" s="61"/>
      <c r="W1359" s="61"/>
      <c r="X1359" s="61"/>
      <c r="Y1359" s="61"/>
      <c r="Z1359" s="61"/>
      <c r="AA1359" s="61"/>
      <c r="AB1359" s="61"/>
      <c r="AC1359" s="61"/>
    </row>
    <row r="1360" ht="15.75" customHeight="1">
      <c r="A1360" s="61"/>
      <c r="B1360" s="61"/>
      <c r="C1360" s="61"/>
      <c r="D1360" s="61"/>
      <c r="E1360" s="61"/>
      <c r="F1360" s="61"/>
      <c r="G1360" s="61"/>
      <c r="H1360" s="61"/>
      <c r="I1360" s="61"/>
      <c r="J1360" s="61"/>
      <c r="K1360" s="61"/>
      <c r="L1360" s="61"/>
      <c r="M1360" s="61"/>
      <c r="N1360" s="61"/>
      <c r="O1360" s="61"/>
      <c r="P1360" s="61"/>
      <c r="Q1360" s="61"/>
      <c r="R1360" s="61"/>
      <c r="S1360" s="61"/>
      <c r="T1360" s="61"/>
      <c r="U1360" s="61"/>
      <c r="V1360" s="61"/>
      <c r="W1360" s="61"/>
      <c r="X1360" s="61"/>
      <c r="Y1360" s="61"/>
      <c r="Z1360" s="61"/>
      <c r="AA1360" s="61"/>
      <c r="AB1360" s="61"/>
      <c r="AC1360" s="61"/>
    </row>
    <row r="1361" ht="15.75" customHeight="1">
      <c r="A1361" s="61"/>
      <c r="B1361" s="61"/>
      <c r="C1361" s="61"/>
      <c r="D1361" s="61"/>
      <c r="E1361" s="61"/>
      <c r="F1361" s="61"/>
      <c r="G1361" s="61"/>
      <c r="H1361" s="61"/>
      <c r="I1361" s="61"/>
      <c r="J1361" s="61"/>
      <c r="K1361" s="61"/>
      <c r="L1361" s="61"/>
      <c r="M1361" s="61"/>
      <c r="N1361" s="61"/>
      <c r="O1361" s="61"/>
      <c r="P1361" s="61"/>
      <c r="Q1361" s="61"/>
      <c r="R1361" s="61"/>
      <c r="S1361" s="61"/>
      <c r="T1361" s="61"/>
      <c r="U1361" s="61"/>
      <c r="V1361" s="61"/>
      <c r="W1361" s="61"/>
      <c r="X1361" s="61"/>
      <c r="Y1361" s="61"/>
      <c r="Z1361" s="61"/>
      <c r="AA1361" s="61"/>
      <c r="AB1361" s="61"/>
      <c r="AC1361" s="61"/>
    </row>
    <row r="1362" ht="15.75" customHeight="1">
      <c r="A1362" s="61"/>
      <c r="B1362" s="61"/>
      <c r="C1362" s="61"/>
      <c r="D1362" s="61"/>
      <c r="E1362" s="61"/>
      <c r="F1362" s="61"/>
      <c r="G1362" s="61"/>
      <c r="H1362" s="61"/>
      <c r="I1362" s="61"/>
      <c r="J1362" s="61"/>
      <c r="K1362" s="61"/>
      <c r="L1362" s="61"/>
      <c r="M1362" s="61"/>
      <c r="N1362" s="61"/>
      <c r="O1362" s="61"/>
      <c r="P1362" s="61"/>
      <c r="Q1362" s="61"/>
      <c r="R1362" s="61"/>
      <c r="S1362" s="61"/>
      <c r="T1362" s="61"/>
      <c r="U1362" s="61"/>
      <c r="V1362" s="61"/>
      <c r="W1362" s="61"/>
      <c r="X1362" s="61"/>
      <c r="Y1362" s="61"/>
      <c r="Z1362" s="61"/>
      <c r="AA1362" s="61"/>
      <c r="AB1362" s="61"/>
      <c r="AC1362" s="61"/>
    </row>
    <row r="1363" ht="15.75" customHeight="1">
      <c r="A1363" s="61"/>
      <c r="B1363" s="61"/>
      <c r="C1363" s="61"/>
      <c r="D1363" s="61"/>
      <c r="E1363" s="61"/>
      <c r="F1363" s="61"/>
      <c r="G1363" s="61"/>
      <c r="H1363" s="61"/>
      <c r="I1363" s="61"/>
      <c r="J1363" s="61"/>
      <c r="K1363" s="61"/>
      <c r="L1363" s="61"/>
      <c r="M1363" s="61"/>
      <c r="N1363" s="61"/>
      <c r="O1363" s="61"/>
      <c r="P1363" s="61"/>
      <c r="Q1363" s="61"/>
      <c r="R1363" s="61"/>
      <c r="S1363" s="61"/>
      <c r="T1363" s="61"/>
      <c r="U1363" s="61"/>
      <c r="V1363" s="61"/>
      <c r="W1363" s="61"/>
      <c r="X1363" s="61"/>
      <c r="Y1363" s="61"/>
      <c r="Z1363" s="61"/>
      <c r="AA1363" s="61"/>
      <c r="AB1363" s="61"/>
      <c r="AC1363" s="61"/>
    </row>
    <row r="1364" ht="15.75" customHeight="1">
      <c r="A1364" s="61"/>
      <c r="B1364" s="61"/>
      <c r="C1364" s="61"/>
      <c r="D1364" s="61"/>
      <c r="E1364" s="61"/>
      <c r="F1364" s="61"/>
      <c r="G1364" s="61"/>
      <c r="H1364" s="61"/>
      <c r="I1364" s="61"/>
      <c r="J1364" s="61"/>
      <c r="K1364" s="61"/>
      <c r="L1364" s="61"/>
      <c r="M1364" s="61"/>
      <c r="N1364" s="61"/>
      <c r="O1364" s="61"/>
      <c r="P1364" s="61"/>
      <c r="Q1364" s="61"/>
      <c r="R1364" s="61"/>
      <c r="S1364" s="61"/>
      <c r="T1364" s="61"/>
      <c r="U1364" s="61"/>
      <c r="V1364" s="61"/>
      <c r="W1364" s="61"/>
      <c r="X1364" s="61"/>
      <c r="Y1364" s="61"/>
      <c r="Z1364" s="61"/>
      <c r="AA1364" s="61"/>
      <c r="AB1364" s="61"/>
      <c r="AC1364" s="61"/>
    </row>
    <row r="1365" ht="15.75" customHeight="1">
      <c r="A1365" s="61"/>
      <c r="B1365" s="61"/>
      <c r="C1365" s="61"/>
      <c r="D1365" s="61"/>
      <c r="E1365" s="61"/>
      <c r="F1365" s="61"/>
      <c r="G1365" s="61"/>
      <c r="H1365" s="61"/>
      <c r="I1365" s="61"/>
      <c r="J1365" s="61"/>
      <c r="K1365" s="61"/>
      <c r="L1365" s="61"/>
      <c r="M1365" s="61"/>
      <c r="N1365" s="61"/>
      <c r="O1365" s="61"/>
      <c r="P1365" s="61"/>
      <c r="Q1365" s="61"/>
      <c r="R1365" s="61"/>
      <c r="S1365" s="61"/>
      <c r="T1365" s="61"/>
      <c r="U1365" s="61"/>
      <c r="V1365" s="61"/>
      <c r="W1365" s="61"/>
      <c r="X1365" s="61"/>
      <c r="Y1365" s="61"/>
      <c r="Z1365" s="61"/>
      <c r="AA1365" s="61"/>
      <c r="AB1365" s="61"/>
      <c r="AC1365" s="61"/>
    </row>
    <row r="1366" ht="15.75" customHeight="1">
      <c r="A1366" s="61"/>
      <c r="B1366" s="61"/>
      <c r="C1366" s="61"/>
      <c r="D1366" s="61"/>
      <c r="E1366" s="61"/>
      <c r="F1366" s="61"/>
      <c r="G1366" s="61"/>
      <c r="H1366" s="61"/>
      <c r="I1366" s="61"/>
      <c r="J1366" s="61"/>
      <c r="K1366" s="61"/>
      <c r="L1366" s="61"/>
      <c r="M1366" s="61"/>
      <c r="N1366" s="61"/>
      <c r="O1366" s="61"/>
      <c r="P1366" s="61"/>
      <c r="Q1366" s="61"/>
      <c r="R1366" s="61"/>
      <c r="S1366" s="61"/>
      <c r="T1366" s="61"/>
      <c r="U1366" s="61"/>
      <c r="V1366" s="61"/>
      <c r="W1366" s="61"/>
      <c r="X1366" s="61"/>
      <c r="Y1366" s="61"/>
      <c r="Z1366" s="61"/>
      <c r="AA1366" s="61"/>
      <c r="AB1366" s="61"/>
      <c r="AC1366" s="61"/>
    </row>
    <row r="1367" ht="15.75" customHeight="1">
      <c r="A1367" s="61"/>
      <c r="B1367" s="61"/>
      <c r="C1367" s="61"/>
      <c r="D1367" s="61"/>
      <c r="E1367" s="61"/>
      <c r="F1367" s="61"/>
      <c r="G1367" s="61"/>
      <c r="H1367" s="61"/>
      <c r="I1367" s="61"/>
      <c r="J1367" s="61"/>
      <c r="K1367" s="61"/>
      <c r="L1367" s="61"/>
      <c r="M1367" s="61"/>
      <c r="N1367" s="61"/>
      <c r="O1367" s="61"/>
      <c r="P1367" s="61"/>
      <c r="Q1367" s="61"/>
      <c r="R1367" s="61"/>
      <c r="S1367" s="61"/>
      <c r="T1367" s="61"/>
      <c r="U1367" s="61"/>
      <c r="V1367" s="61"/>
      <c r="W1367" s="61"/>
      <c r="X1367" s="61"/>
      <c r="Y1367" s="61"/>
      <c r="Z1367" s="61"/>
      <c r="AA1367" s="61"/>
      <c r="AB1367" s="61"/>
      <c r="AC1367" s="61"/>
    </row>
    <row r="1368" ht="15.75" customHeight="1">
      <c r="A1368" s="61"/>
      <c r="B1368" s="61"/>
      <c r="C1368" s="61"/>
      <c r="D1368" s="61"/>
      <c r="E1368" s="61"/>
      <c r="F1368" s="61"/>
      <c r="G1368" s="61"/>
      <c r="H1368" s="61"/>
      <c r="I1368" s="61"/>
      <c r="J1368" s="61"/>
      <c r="K1368" s="61"/>
      <c r="L1368" s="61"/>
      <c r="M1368" s="61"/>
      <c r="N1368" s="61"/>
      <c r="O1368" s="61"/>
      <c r="P1368" s="61"/>
      <c r="Q1368" s="61"/>
      <c r="R1368" s="61"/>
      <c r="S1368" s="61"/>
      <c r="T1368" s="61"/>
      <c r="U1368" s="61"/>
      <c r="V1368" s="61"/>
      <c r="W1368" s="61"/>
      <c r="X1368" s="61"/>
      <c r="Y1368" s="61"/>
      <c r="Z1368" s="61"/>
      <c r="AA1368" s="61"/>
      <c r="AB1368" s="61"/>
      <c r="AC1368" s="61"/>
    </row>
    <row r="1369" ht="15.75" customHeight="1">
      <c r="A1369" s="61"/>
      <c r="B1369" s="61"/>
      <c r="C1369" s="61"/>
      <c r="D1369" s="61"/>
      <c r="E1369" s="61"/>
      <c r="F1369" s="61"/>
      <c r="G1369" s="61"/>
      <c r="H1369" s="61"/>
      <c r="I1369" s="61"/>
      <c r="J1369" s="61"/>
      <c r="K1369" s="61"/>
      <c r="L1369" s="61"/>
      <c r="M1369" s="61"/>
      <c r="N1369" s="61"/>
      <c r="O1369" s="61"/>
      <c r="P1369" s="61"/>
      <c r="Q1369" s="61"/>
      <c r="R1369" s="61"/>
      <c r="S1369" s="61"/>
      <c r="T1369" s="61"/>
      <c r="U1369" s="61"/>
      <c r="V1369" s="61"/>
      <c r="W1369" s="61"/>
      <c r="X1369" s="61"/>
      <c r="Y1369" s="61"/>
      <c r="Z1369" s="61"/>
      <c r="AA1369" s="61"/>
      <c r="AB1369" s="61"/>
      <c r="AC1369" s="61"/>
    </row>
    <row r="1370" ht="15.75" customHeight="1">
      <c r="A1370" s="61"/>
      <c r="B1370" s="61"/>
      <c r="C1370" s="61"/>
      <c r="D1370" s="61"/>
      <c r="E1370" s="61"/>
      <c r="F1370" s="61"/>
      <c r="G1370" s="61"/>
      <c r="H1370" s="61"/>
      <c r="I1370" s="61"/>
      <c r="J1370" s="61"/>
      <c r="K1370" s="61"/>
      <c r="L1370" s="61"/>
      <c r="M1370" s="61"/>
      <c r="N1370" s="61"/>
      <c r="O1370" s="61"/>
      <c r="P1370" s="61"/>
      <c r="Q1370" s="61"/>
      <c r="R1370" s="61"/>
      <c r="S1370" s="61"/>
      <c r="T1370" s="61"/>
      <c r="U1370" s="61"/>
      <c r="V1370" s="61"/>
      <c r="W1370" s="61"/>
      <c r="X1370" s="61"/>
      <c r="Y1370" s="61"/>
      <c r="Z1370" s="61"/>
      <c r="AA1370" s="61"/>
      <c r="AB1370" s="61"/>
      <c r="AC1370" s="61"/>
    </row>
    <row r="1371" ht="15.75" customHeight="1">
      <c r="A1371" s="61"/>
      <c r="B1371" s="61"/>
      <c r="C1371" s="61"/>
      <c r="D1371" s="61"/>
      <c r="E1371" s="61"/>
      <c r="F1371" s="61"/>
      <c r="G1371" s="61"/>
      <c r="H1371" s="61"/>
      <c r="I1371" s="61"/>
      <c r="J1371" s="61"/>
      <c r="K1371" s="61"/>
      <c r="L1371" s="61"/>
      <c r="M1371" s="61"/>
      <c r="N1371" s="61"/>
      <c r="O1371" s="61"/>
      <c r="P1371" s="61"/>
      <c r="Q1371" s="61"/>
      <c r="R1371" s="61"/>
      <c r="S1371" s="61"/>
      <c r="T1371" s="61"/>
      <c r="U1371" s="61"/>
      <c r="V1371" s="61"/>
      <c r="W1371" s="61"/>
      <c r="X1371" s="61"/>
      <c r="Y1371" s="61"/>
      <c r="Z1371" s="61"/>
      <c r="AA1371" s="61"/>
      <c r="AB1371" s="61"/>
      <c r="AC1371" s="61"/>
    </row>
    <row r="1372" ht="15.75" customHeight="1">
      <c r="A1372" s="61"/>
      <c r="B1372" s="61"/>
      <c r="C1372" s="61"/>
      <c r="D1372" s="61"/>
      <c r="E1372" s="61"/>
      <c r="F1372" s="61"/>
      <c r="G1372" s="61"/>
      <c r="H1372" s="61"/>
      <c r="I1372" s="61"/>
      <c r="J1372" s="61"/>
      <c r="K1372" s="61"/>
      <c r="L1372" s="61"/>
      <c r="M1372" s="61"/>
      <c r="N1372" s="61"/>
      <c r="O1372" s="61"/>
      <c r="P1372" s="61"/>
      <c r="Q1372" s="61"/>
      <c r="R1372" s="61"/>
      <c r="S1372" s="61"/>
      <c r="T1372" s="61"/>
      <c r="U1372" s="61"/>
      <c r="V1372" s="61"/>
      <c r="W1372" s="61"/>
      <c r="X1372" s="61"/>
      <c r="Y1372" s="61"/>
      <c r="Z1372" s="61"/>
      <c r="AA1372" s="61"/>
      <c r="AB1372" s="61"/>
      <c r="AC1372" s="61"/>
    </row>
    <row r="1373" ht="15.75" customHeight="1">
      <c r="A1373" s="61"/>
      <c r="B1373" s="61"/>
      <c r="C1373" s="61"/>
      <c r="D1373" s="61"/>
      <c r="E1373" s="61"/>
      <c r="F1373" s="61"/>
      <c r="G1373" s="61"/>
      <c r="H1373" s="61"/>
      <c r="I1373" s="61"/>
      <c r="J1373" s="61"/>
      <c r="K1373" s="61"/>
      <c r="L1373" s="61"/>
      <c r="M1373" s="61"/>
      <c r="N1373" s="61"/>
      <c r="O1373" s="61"/>
      <c r="P1373" s="61"/>
      <c r="Q1373" s="61"/>
      <c r="R1373" s="61"/>
      <c r="S1373" s="61"/>
      <c r="T1373" s="61"/>
      <c r="U1373" s="61"/>
      <c r="V1373" s="61"/>
      <c r="W1373" s="61"/>
      <c r="X1373" s="61"/>
      <c r="Y1373" s="61"/>
      <c r="Z1373" s="61"/>
      <c r="AA1373" s="61"/>
      <c r="AB1373" s="61"/>
      <c r="AC1373" s="61"/>
    </row>
    <row r="1374" ht="15.75" customHeight="1">
      <c r="A1374" s="61"/>
      <c r="B1374" s="61"/>
      <c r="C1374" s="61"/>
      <c r="D1374" s="61"/>
      <c r="E1374" s="61"/>
      <c r="F1374" s="61"/>
      <c r="G1374" s="61"/>
      <c r="H1374" s="61"/>
      <c r="I1374" s="61"/>
      <c r="J1374" s="61"/>
      <c r="K1374" s="61"/>
      <c r="L1374" s="61"/>
      <c r="M1374" s="61"/>
      <c r="N1374" s="61"/>
      <c r="O1374" s="61"/>
      <c r="P1374" s="61"/>
      <c r="Q1374" s="61"/>
      <c r="R1374" s="61"/>
      <c r="S1374" s="61"/>
      <c r="T1374" s="61"/>
      <c r="U1374" s="61"/>
      <c r="V1374" s="61"/>
      <c r="W1374" s="61"/>
      <c r="X1374" s="61"/>
      <c r="Y1374" s="61"/>
      <c r="Z1374" s="61"/>
      <c r="AA1374" s="61"/>
      <c r="AB1374" s="61"/>
      <c r="AC1374" s="61"/>
    </row>
    <row r="1375" ht="15.75" customHeight="1">
      <c r="A1375" s="61"/>
      <c r="B1375" s="61"/>
      <c r="C1375" s="61"/>
      <c r="D1375" s="61"/>
      <c r="E1375" s="61"/>
      <c r="F1375" s="61"/>
      <c r="G1375" s="61"/>
      <c r="H1375" s="61"/>
      <c r="I1375" s="61"/>
      <c r="J1375" s="61"/>
      <c r="K1375" s="61"/>
      <c r="L1375" s="61"/>
      <c r="M1375" s="61"/>
      <c r="N1375" s="61"/>
      <c r="O1375" s="61"/>
      <c r="P1375" s="61"/>
      <c r="Q1375" s="61"/>
      <c r="R1375" s="61"/>
      <c r="S1375" s="61"/>
      <c r="T1375" s="61"/>
      <c r="U1375" s="61"/>
      <c r="V1375" s="61"/>
      <c r="W1375" s="61"/>
      <c r="X1375" s="61"/>
      <c r="Y1375" s="61"/>
      <c r="Z1375" s="61"/>
      <c r="AA1375" s="61"/>
      <c r="AB1375" s="61"/>
      <c r="AC1375" s="61"/>
    </row>
    <row r="1376" ht="15.75" customHeight="1">
      <c r="A1376" s="61"/>
      <c r="B1376" s="61"/>
      <c r="C1376" s="61"/>
      <c r="D1376" s="61"/>
      <c r="E1376" s="61"/>
      <c r="F1376" s="61"/>
      <c r="G1376" s="61"/>
      <c r="H1376" s="61"/>
      <c r="I1376" s="61"/>
      <c r="J1376" s="61"/>
      <c r="K1376" s="61"/>
      <c r="L1376" s="61"/>
      <c r="M1376" s="61"/>
      <c r="N1376" s="61"/>
      <c r="O1376" s="61"/>
      <c r="P1376" s="61"/>
      <c r="Q1376" s="61"/>
      <c r="R1376" s="61"/>
      <c r="S1376" s="61"/>
      <c r="T1376" s="61"/>
      <c r="U1376" s="61"/>
      <c r="V1376" s="61"/>
      <c r="W1376" s="61"/>
      <c r="X1376" s="61"/>
      <c r="Y1376" s="61"/>
      <c r="Z1376" s="61"/>
      <c r="AA1376" s="61"/>
      <c r="AB1376" s="61"/>
      <c r="AC1376" s="61"/>
    </row>
    <row r="1377" ht="15.75" customHeight="1">
      <c r="A1377" s="61"/>
      <c r="B1377" s="61"/>
      <c r="C1377" s="61"/>
      <c r="D1377" s="61"/>
      <c r="E1377" s="61"/>
      <c r="F1377" s="61"/>
      <c r="G1377" s="61"/>
      <c r="H1377" s="61"/>
      <c r="I1377" s="61"/>
      <c r="J1377" s="61"/>
      <c r="K1377" s="61"/>
      <c r="L1377" s="61"/>
      <c r="M1377" s="61"/>
      <c r="N1377" s="61"/>
      <c r="O1377" s="61"/>
      <c r="P1377" s="61"/>
      <c r="Q1377" s="61"/>
      <c r="R1377" s="61"/>
      <c r="S1377" s="61"/>
      <c r="T1377" s="61"/>
      <c r="U1377" s="61"/>
      <c r="V1377" s="61"/>
      <c r="W1377" s="61"/>
      <c r="X1377" s="61"/>
      <c r="Y1377" s="61"/>
      <c r="Z1377" s="61"/>
      <c r="AA1377" s="61"/>
      <c r="AB1377" s="61"/>
      <c r="AC1377" s="61"/>
    </row>
    <row r="1378" ht="15.75" customHeight="1">
      <c r="A1378" s="61"/>
      <c r="B1378" s="61"/>
      <c r="C1378" s="61"/>
      <c r="D1378" s="61"/>
      <c r="E1378" s="61"/>
      <c r="F1378" s="61"/>
      <c r="G1378" s="61"/>
      <c r="H1378" s="61"/>
      <c r="I1378" s="61"/>
      <c r="J1378" s="61"/>
      <c r="K1378" s="61"/>
      <c r="L1378" s="61"/>
      <c r="M1378" s="61"/>
      <c r="N1378" s="61"/>
      <c r="O1378" s="61"/>
      <c r="P1378" s="61"/>
      <c r="Q1378" s="61"/>
      <c r="R1378" s="61"/>
      <c r="S1378" s="61"/>
      <c r="T1378" s="61"/>
      <c r="U1378" s="61"/>
      <c r="V1378" s="61"/>
      <c r="W1378" s="61"/>
      <c r="X1378" s="61"/>
      <c r="Y1378" s="61"/>
      <c r="Z1378" s="61"/>
      <c r="AA1378" s="61"/>
      <c r="AB1378" s="61"/>
      <c r="AC1378" s="61"/>
    </row>
    <row r="1379" ht="15.75" customHeight="1">
      <c r="A1379" s="61"/>
      <c r="B1379" s="61"/>
      <c r="C1379" s="61"/>
      <c r="D1379" s="61"/>
      <c r="E1379" s="61"/>
      <c r="F1379" s="61"/>
      <c r="G1379" s="61"/>
      <c r="H1379" s="61"/>
      <c r="I1379" s="61"/>
      <c r="J1379" s="61"/>
      <c r="K1379" s="61"/>
      <c r="L1379" s="61"/>
      <c r="M1379" s="61"/>
      <c r="N1379" s="61"/>
      <c r="O1379" s="61"/>
      <c r="P1379" s="61"/>
      <c r="Q1379" s="61"/>
      <c r="R1379" s="61"/>
      <c r="S1379" s="61"/>
      <c r="T1379" s="61"/>
      <c r="U1379" s="61"/>
      <c r="V1379" s="61"/>
      <c r="W1379" s="61"/>
      <c r="X1379" s="61"/>
      <c r="Y1379" s="61"/>
      <c r="Z1379" s="61"/>
      <c r="AA1379" s="61"/>
      <c r="AB1379" s="61"/>
      <c r="AC1379" s="61"/>
    </row>
    <row r="1380" ht="15.75" customHeight="1">
      <c r="A1380" s="61"/>
      <c r="B1380" s="61"/>
      <c r="C1380" s="61"/>
      <c r="D1380" s="61"/>
      <c r="E1380" s="61"/>
      <c r="F1380" s="61"/>
      <c r="G1380" s="61"/>
      <c r="H1380" s="61"/>
      <c r="I1380" s="61"/>
      <c r="J1380" s="61"/>
      <c r="K1380" s="61"/>
      <c r="L1380" s="61"/>
      <c r="M1380" s="61"/>
      <c r="N1380" s="61"/>
      <c r="O1380" s="61"/>
      <c r="P1380" s="61"/>
      <c r="Q1380" s="61"/>
      <c r="R1380" s="61"/>
      <c r="S1380" s="61"/>
      <c r="T1380" s="61"/>
      <c r="U1380" s="61"/>
      <c r="V1380" s="61"/>
      <c r="W1380" s="61"/>
      <c r="X1380" s="61"/>
      <c r="Y1380" s="61"/>
      <c r="Z1380" s="61"/>
      <c r="AA1380" s="61"/>
      <c r="AB1380" s="61"/>
      <c r="AC1380" s="61"/>
    </row>
    <row r="1381" ht="15.75" customHeight="1">
      <c r="A1381" s="61"/>
      <c r="B1381" s="61"/>
      <c r="C1381" s="61"/>
      <c r="D1381" s="61"/>
      <c r="E1381" s="61"/>
      <c r="F1381" s="61"/>
      <c r="G1381" s="61"/>
      <c r="H1381" s="61"/>
      <c r="I1381" s="61"/>
      <c r="J1381" s="61"/>
      <c r="K1381" s="61"/>
      <c r="L1381" s="61"/>
      <c r="M1381" s="61"/>
      <c r="N1381" s="61"/>
      <c r="O1381" s="61"/>
      <c r="P1381" s="61"/>
      <c r="Q1381" s="61"/>
      <c r="R1381" s="61"/>
      <c r="S1381" s="61"/>
      <c r="T1381" s="61"/>
      <c r="U1381" s="61"/>
      <c r="V1381" s="61"/>
      <c r="W1381" s="61"/>
      <c r="X1381" s="61"/>
      <c r="Y1381" s="61"/>
      <c r="Z1381" s="61"/>
      <c r="AA1381" s="61"/>
      <c r="AB1381" s="61"/>
      <c r="AC1381" s="61"/>
    </row>
    <row r="1382" ht="15.75" customHeight="1">
      <c r="A1382" s="61"/>
      <c r="B1382" s="61"/>
      <c r="C1382" s="61"/>
      <c r="D1382" s="61"/>
      <c r="E1382" s="61"/>
      <c r="F1382" s="61"/>
      <c r="G1382" s="61"/>
      <c r="H1382" s="61"/>
      <c r="I1382" s="61"/>
      <c r="J1382" s="61"/>
      <c r="K1382" s="61"/>
      <c r="L1382" s="61"/>
      <c r="M1382" s="61"/>
      <c r="N1382" s="61"/>
      <c r="O1382" s="61"/>
      <c r="P1382" s="61"/>
      <c r="Q1382" s="61"/>
      <c r="R1382" s="61"/>
      <c r="S1382" s="61"/>
      <c r="T1382" s="61"/>
      <c r="U1382" s="61"/>
      <c r="V1382" s="61"/>
      <c r="W1382" s="61"/>
      <c r="X1382" s="61"/>
      <c r="Y1382" s="61"/>
      <c r="Z1382" s="61"/>
      <c r="AA1382" s="61"/>
      <c r="AB1382" s="61"/>
      <c r="AC1382" s="61"/>
    </row>
    <row r="1383" ht="15.75" customHeight="1">
      <c r="A1383" s="61"/>
      <c r="B1383" s="61"/>
      <c r="C1383" s="61"/>
      <c r="D1383" s="61"/>
      <c r="E1383" s="61"/>
      <c r="F1383" s="61"/>
      <c r="G1383" s="61"/>
      <c r="H1383" s="61"/>
      <c r="I1383" s="61"/>
      <c r="J1383" s="61"/>
      <c r="K1383" s="61"/>
      <c r="L1383" s="61"/>
      <c r="M1383" s="61"/>
      <c r="N1383" s="61"/>
      <c r="O1383" s="61"/>
      <c r="P1383" s="61"/>
      <c r="Q1383" s="61"/>
      <c r="R1383" s="61"/>
      <c r="S1383" s="61"/>
      <c r="T1383" s="61"/>
      <c r="U1383" s="61"/>
      <c r="V1383" s="61"/>
      <c r="W1383" s="61"/>
      <c r="X1383" s="61"/>
      <c r="Y1383" s="61"/>
      <c r="Z1383" s="61"/>
      <c r="AA1383" s="61"/>
      <c r="AB1383" s="61"/>
      <c r="AC1383" s="61"/>
    </row>
    <row r="1384" ht="15.75" customHeight="1">
      <c r="A1384" s="61"/>
      <c r="B1384" s="61"/>
      <c r="C1384" s="61"/>
      <c r="D1384" s="61"/>
      <c r="E1384" s="61"/>
      <c r="F1384" s="61"/>
      <c r="G1384" s="61"/>
      <c r="H1384" s="61"/>
      <c r="I1384" s="61"/>
      <c r="J1384" s="61"/>
      <c r="K1384" s="61"/>
      <c r="L1384" s="61"/>
      <c r="M1384" s="61"/>
      <c r="N1384" s="61"/>
      <c r="O1384" s="61"/>
      <c r="P1384" s="61"/>
      <c r="Q1384" s="61"/>
      <c r="R1384" s="61"/>
      <c r="S1384" s="61"/>
      <c r="T1384" s="61"/>
      <c r="U1384" s="61"/>
      <c r="V1384" s="61"/>
      <c r="W1384" s="61"/>
      <c r="X1384" s="61"/>
      <c r="Y1384" s="61"/>
      <c r="Z1384" s="61"/>
      <c r="AA1384" s="61"/>
      <c r="AB1384" s="61"/>
      <c r="AC1384" s="61"/>
    </row>
    <row r="1385" ht="15.75" customHeight="1">
      <c r="A1385" s="61"/>
      <c r="B1385" s="61"/>
      <c r="C1385" s="61"/>
      <c r="D1385" s="61"/>
      <c r="E1385" s="61"/>
      <c r="F1385" s="61"/>
      <c r="G1385" s="61"/>
      <c r="H1385" s="61"/>
      <c r="I1385" s="61"/>
      <c r="J1385" s="61"/>
      <c r="K1385" s="61"/>
      <c r="L1385" s="61"/>
      <c r="M1385" s="61"/>
      <c r="N1385" s="61"/>
      <c r="O1385" s="61"/>
      <c r="P1385" s="61"/>
      <c r="Q1385" s="61"/>
      <c r="R1385" s="61"/>
      <c r="S1385" s="61"/>
      <c r="T1385" s="61"/>
      <c r="U1385" s="61"/>
      <c r="V1385" s="61"/>
      <c r="W1385" s="61"/>
      <c r="X1385" s="61"/>
      <c r="Y1385" s="61"/>
      <c r="Z1385" s="61"/>
      <c r="AA1385" s="61"/>
      <c r="AB1385" s="61"/>
      <c r="AC1385" s="61"/>
    </row>
    <row r="1386" ht="15.75" customHeight="1">
      <c r="A1386" s="61"/>
      <c r="B1386" s="61"/>
      <c r="C1386" s="61"/>
      <c r="D1386" s="61"/>
      <c r="E1386" s="61"/>
      <c r="F1386" s="61"/>
      <c r="G1386" s="61"/>
      <c r="H1386" s="61"/>
      <c r="I1386" s="61"/>
      <c r="J1386" s="61"/>
      <c r="K1386" s="61"/>
      <c r="L1386" s="61"/>
      <c r="M1386" s="61"/>
      <c r="N1386" s="61"/>
      <c r="O1386" s="61"/>
      <c r="P1386" s="61"/>
      <c r="Q1386" s="61"/>
      <c r="R1386" s="61"/>
      <c r="S1386" s="61"/>
      <c r="T1386" s="61"/>
      <c r="U1386" s="61"/>
      <c r="V1386" s="61"/>
      <c r="W1386" s="61"/>
      <c r="X1386" s="61"/>
      <c r="Y1386" s="61"/>
      <c r="Z1386" s="61"/>
      <c r="AA1386" s="61"/>
      <c r="AB1386" s="61"/>
      <c r="AC1386" s="61"/>
    </row>
    <row r="1387" ht="15.75" customHeight="1">
      <c r="A1387" s="61"/>
      <c r="B1387" s="61"/>
      <c r="C1387" s="61"/>
      <c r="D1387" s="61"/>
      <c r="E1387" s="61"/>
      <c r="F1387" s="61"/>
      <c r="G1387" s="61"/>
      <c r="H1387" s="61"/>
      <c r="I1387" s="61"/>
      <c r="J1387" s="61"/>
      <c r="K1387" s="61"/>
      <c r="L1387" s="61"/>
      <c r="M1387" s="61"/>
      <c r="N1387" s="61"/>
      <c r="O1387" s="61"/>
      <c r="P1387" s="61"/>
      <c r="Q1387" s="61"/>
      <c r="R1387" s="61"/>
      <c r="S1387" s="61"/>
      <c r="T1387" s="61"/>
      <c r="U1387" s="61"/>
      <c r="V1387" s="61"/>
      <c r="W1387" s="61"/>
      <c r="X1387" s="61"/>
      <c r="Y1387" s="61"/>
      <c r="Z1387" s="61"/>
      <c r="AA1387" s="61"/>
      <c r="AB1387" s="61"/>
      <c r="AC1387" s="61"/>
    </row>
    <row r="1388" ht="15.75" customHeight="1">
      <c r="A1388" s="61"/>
      <c r="B1388" s="61"/>
      <c r="C1388" s="61"/>
      <c r="D1388" s="61"/>
      <c r="E1388" s="61"/>
      <c r="F1388" s="61"/>
      <c r="G1388" s="61"/>
      <c r="H1388" s="61"/>
      <c r="I1388" s="61"/>
      <c r="J1388" s="61"/>
      <c r="K1388" s="61"/>
      <c r="L1388" s="61"/>
      <c r="M1388" s="61"/>
      <c r="N1388" s="61"/>
      <c r="O1388" s="61"/>
      <c r="P1388" s="61"/>
      <c r="Q1388" s="61"/>
      <c r="R1388" s="61"/>
      <c r="S1388" s="61"/>
      <c r="T1388" s="61"/>
      <c r="U1388" s="61"/>
      <c r="V1388" s="61"/>
      <c r="W1388" s="61"/>
      <c r="X1388" s="61"/>
      <c r="Y1388" s="61"/>
      <c r="Z1388" s="61"/>
      <c r="AA1388" s="61"/>
      <c r="AB1388" s="61"/>
      <c r="AC1388" s="61"/>
    </row>
    <row r="1389" ht="15.75" customHeight="1">
      <c r="A1389" s="61"/>
      <c r="B1389" s="61"/>
      <c r="C1389" s="61"/>
      <c r="D1389" s="61"/>
      <c r="E1389" s="61"/>
      <c r="F1389" s="61"/>
      <c r="G1389" s="61"/>
      <c r="H1389" s="61"/>
      <c r="I1389" s="61"/>
      <c r="J1389" s="61"/>
      <c r="K1389" s="61"/>
      <c r="L1389" s="61"/>
      <c r="M1389" s="61"/>
      <c r="N1389" s="61"/>
      <c r="O1389" s="61"/>
      <c r="P1389" s="61"/>
      <c r="Q1389" s="61"/>
      <c r="R1389" s="61"/>
      <c r="S1389" s="61"/>
      <c r="T1389" s="61"/>
      <c r="U1389" s="61"/>
      <c r="V1389" s="61"/>
      <c r="W1389" s="61"/>
      <c r="X1389" s="61"/>
      <c r="Y1389" s="61"/>
      <c r="Z1389" s="61"/>
      <c r="AA1389" s="61"/>
      <c r="AB1389" s="61"/>
      <c r="AC1389" s="61"/>
    </row>
    <row r="1390" ht="15.75" customHeight="1">
      <c r="A1390" s="61"/>
      <c r="B1390" s="61"/>
      <c r="C1390" s="61"/>
      <c r="D1390" s="61"/>
      <c r="E1390" s="61"/>
      <c r="F1390" s="61"/>
      <c r="G1390" s="61"/>
      <c r="H1390" s="61"/>
      <c r="I1390" s="61"/>
      <c r="J1390" s="61"/>
      <c r="K1390" s="61"/>
      <c r="L1390" s="61"/>
      <c r="M1390" s="61"/>
      <c r="N1390" s="61"/>
      <c r="O1390" s="61"/>
      <c r="P1390" s="61"/>
      <c r="Q1390" s="61"/>
      <c r="R1390" s="61"/>
      <c r="S1390" s="61"/>
      <c r="T1390" s="61"/>
      <c r="U1390" s="61"/>
      <c r="V1390" s="61"/>
      <c r="W1390" s="61"/>
      <c r="X1390" s="61"/>
      <c r="Y1390" s="61"/>
      <c r="Z1390" s="61"/>
      <c r="AA1390" s="61"/>
      <c r="AB1390" s="61"/>
      <c r="AC1390" s="61"/>
    </row>
    <row r="1391" ht="15.75" customHeight="1">
      <c r="A1391" s="61"/>
      <c r="B1391" s="61"/>
      <c r="C1391" s="61"/>
      <c r="D1391" s="61"/>
      <c r="E1391" s="61"/>
      <c r="F1391" s="61"/>
      <c r="G1391" s="61"/>
      <c r="H1391" s="61"/>
      <c r="I1391" s="61"/>
      <c r="J1391" s="61"/>
      <c r="K1391" s="61"/>
      <c r="L1391" s="61"/>
      <c r="M1391" s="61"/>
      <c r="N1391" s="61"/>
      <c r="O1391" s="61"/>
      <c r="P1391" s="61"/>
      <c r="Q1391" s="61"/>
      <c r="R1391" s="61"/>
      <c r="S1391" s="61"/>
      <c r="T1391" s="61"/>
      <c r="U1391" s="61"/>
      <c r="V1391" s="61"/>
      <c r="W1391" s="61"/>
      <c r="X1391" s="61"/>
      <c r="Y1391" s="61"/>
      <c r="Z1391" s="61"/>
      <c r="AA1391" s="61"/>
      <c r="AB1391" s="61"/>
      <c r="AC1391" s="61"/>
    </row>
    <row r="1392" ht="15.75" customHeight="1">
      <c r="A1392" s="61"/>
      <c r="B1392" s="61"/>
      <c r="C1392" s="61"/>
      <c r="D1392" s="61"/>
      <c r="E1392" s="61"/>
      <c r="F1392" s="61"/>
      <c r="G1392" s="61"/>
      <c r="H1392" s="61"/>
      <c r="I1392" s="61"/>
      <c r="J1392" s="61"/>
      <c r="K1392" s="61"/>
      <c r="L1392" s="61"/>
      <c r="M1392" s="61"/>
      <c r="N1392" s="61"/>
      <c r="O1392" s="61"/>
      <c r="P1392" s="61"/>
      <c r="Q1392" s="61"/>
      <c r="R1392" s="61"/>
      <c r="S1392" s="61"/>
      <c r="T1392" s="61"/>
      <c r="U1392" s="61"/>
      <c r="V1392" s="61"/>
      <c r="W1392" s="61"/>
      <c r="X1392" s="61"/>
      <c r="Y1392" s="61"/>
      <c r="Z1392" s="61"/>
      <c r="AA1392" s="61"/>
      <c r="AB1392" s="61"/>
      <c r="AC1392" s="61"/>
    </row>
    <row r="1393" ht="15.75" customHeight="1">
      <c r="A1393" s="61"/>
      <c r="B1393" s="61"/>
      <c r="C1393" s="61"/>
      <c r="D1393" s="61"/>
      <c r="E1393" s="61"/>
      <c r="F1393" s="61"/>
      <c r="G1393" s="61"/>
      <c r="H1393" s="61"/>
      <c r="I1393" s="61"/>
      <c r="J1393" s="61"/>
      <c r="K1393" s="61"/>
      <c r="L1393" s="61"/>
      <c r="M1393" s="61"/>
      <c r="N1393" s="61"/>
      <c r="O1393" s="61"/>
      <c r="P1393" s="61"/>
      <c r="Q1393" s="61"/>
      <c r="R1393" s="61"/>
      <c r="S1393" s="61"/>
      <c r="T1393" s="61"/>
      <c r="U1393" s="61"/>
      <c r="V1393" s="61"/>
      <c r="W1393" s="61"/>
      <c r="X1393" s="61"/>
      <c r="Y1393" s="61"/>
      <c r="Z1393" s="61"/>
      <c r="AA1393" s="61"/>
      <c r="AB1393" s="61"/>
      <c r="AC1393" s="61"/>
    </row>
    <row r="1394" ht="15.75" customHeight="1">
      <c r="A1394" s="61"/>
      <c r="B1394" s="61"/>
      <c r="C1394" s="61"/>
      <c r="D1394" s="61"/>
      <c r="E1394" s="61"/>
      <c r="F1394" s="61"/>
      <c r="G1394" s="61"/>
      <c r="H1394" s="61"/>
      <c r="I1394" s="61"/>
      <c r="J1394" s="61"/>
      <c r="K1394" s="61"/>
      <c r="L1394" s="61"/>
      <c r="M1394" s="61"/>
      <c r="N1394" s="61"/>
      <c r="O1394" s="61"/>
      <c r="P1394" s="61"/>
      <c r="Q1394" s="61"/>
      <c r="R1394" s="61"/>
      <c r="S1394" s="61"/>
      <c r="T1394" s="61"/>
      <c r="U1394" s="61"/>
      <c r="V1394" s="61"/>
      <c r="W1394" s="61"/>
      <c r="X1394" s="61"/>
      <c r="Y1394" s="61"/>
      <c r="Z1394" s="61"/>
      <c r="AA1394" s="61"/>
      <c r="AB1394" s="61"/>
      <c r="AC1394" s="61"/>
    </row>
    <row r="1395" ht="15.75" customHeight="1">
      <c r="A1395" s="61"/>
      <c r="B1395" s="61"/>
      <c r="C1395" s="61"/>
      <c r="D1395" s="61"/>
      <c r="E1395" s="61"/>
      <c r="F1395" s="61"/>
      <c r="G1395" s="61"/>
      <c r="H1395" s="61"/>
      <c r="I1395" s="61"/>
      <c r="J1395" s="61"/>
      <c r="K1395" s="61"/>
      <c r="L1395" s="61"/>
      <c r="M1395" s="61"/>
      <c r="N1395" s="61"/>
      <c r="O1395" s="61"/>
      <c r="P1395" s="61"/>
      <c r="Q1395" s="61"/>
      <c r="R1395" s="61"/>
      <c r="S1395" s="61"/>
      <c r="T1395" s="61"/>
      <c r="U1395" s="61"/>
      <c r="V1395" s="61"/>
      <c r="W1395" s="61"/>
      <c r="X1395" s="61"/>
      <c r="Y1395" s="61"/>
      <c r="Z1395" s="61"/>
      <c r="AA1395" s="61"/>
      <c r="AB1395" s="61"/>
      <c r="AC1395" s="61"/>
    </row>
    <row r="1396" ht="15.75" customHeight="1">
      <c r="A1396" s="61"/>
      <c r="B1396" s="61"/>
      <c r="C1396" s="61"/>
      <c r="D1396" s="61"/>
      <c r="E1396" s="61"/>
      <c r="F1396" s="61"/>
      <c r="G1396" s="61"/>
      <c r="H1396" s="61"/>
      <c r="I1396" s="61"/>
      <c r="J1396" s="61"/>
      <c r="K1396" s="61"/>
      <c r="L1396" s="61"/>
      <c r="M1396" s="61"/>
      <c r="N1396" s="61"/>
      <c r="O1396" s="61"/>
      <c r="P1396" s="61"/>
      <c r="Q1396" s="61"/>
      <c r="R1396" s="61"/>
      <c r="S1396" s="61"/>
      <c r="T1396" s="61"/>
      <c r="U1396" s="61"/>
      <c r="V1396" s="61"/>
      <c r="W1396" s="61"/>
      <c r="X1396" s="61"/>
      <c r="Y1396" s="61"/>
      <c r="Z1396" s="61"/>
      <c r="AA1396" s="61"/>
      <c r="AB1396" s="61"/>
      <c r="AC1396" s="61"/>
    </row>
    <row r="1397" ht="15.75" customHeight="1">
      <c r="A1397" s="61"/>
      <c r="B1397" s="61"/>
      <c r="C1397" s="61"/>
      <c r="D1397" s="61"/>
      <c r="E1397" s="61"/>
      <c r="F1397" s="61"/>
      <c r="G1397" s="61"/>
      <c r="H1397" s="61"/>
      <c r="I1397" s="61"/>
      <c r="J1397" s="61"/>
      <c r="K1397" s="61"/>
      <c r="L1397" s="61"/>
      <c r="M1397" s="61"/>
      <c r="N1397" s="61"/>
      <c r="O1397" s="61"/>
      <c r="P1397" s="61"/>
      <c r="Q1397" s="61"/>
      <c r="R1397" s="61"/>
      <c r="S1397" s="61"/>
      <c r="T1397" s="61"/>
      <c r="U1397" s="61"/>
      <c r="V1397" s="61"/>
      <c r="W1397" s="61"/>
      <c r="X1397" s="61"/>
      <c r="Y1397" s="61"/>
      <c r="Z1397" s="61"/>
      <c r="AA1397" s="61"/>
      <c r="AB1397" s="61"/>
      <c r="AC1397" s="61"/>
    </row>
    <row r="1398" ht="15.75" customHeight="1">
      <c r="A1398" s="61"/>
      <c r="B1398" s="61"/>
      <c r="C1398" s="61"/>
      <c r="D1398" s="61"/>
      <c r="E1398" s="61"/>
      <c r="F1398" s="61"/>
      <c r="G1398" s="61"/>
      <c r="H1398" s="61"/>
      <c r="I1398" s="61"/>
      <c r="J1398" s="61"/>
      <c r="K1398" s="61"/>
      <c r="L1398" s="61"/>
      <c r="M1398" s="61"/>
      <c r="N1398" s="61"/>
      <c r="O1398" s="61"/>
      <c r="P1398" s="61"/>
      <c r="Q1398" s="61"/>
      <c r="R1398" s="61"/>
      <c r="S1398" s="61"/>
      <c r="T1398" s="61"/>
      <c r="U1398" s="61"/>
      <c r="V1398" s="61"/>
      <c r="W1398" s="61"/>
      <c r="X1398" s="61"/>
      <c r="Y1398" s="61"/>
      <c r="Z1398" s="61"/>
      <c r="AA1398" s="61"/>
      <c r="AB1398" s="61"/>
      <c r="AC1398" s="61"/>
    </row>
    <row r="1399" ht="15.75" customHeight="1">
      <c r="A1399" s="61"/>
      <c r="B1399" s="61"/>
      <c r="C1399" s="61"/>
      <c r="D1399" s="61"/>
      <c r="E1399" s="61"/>
      <c r="F1399" s="61"/>
      <c r="G1399" s="61"/>
      <c r="H1399" s="61"/>
      <c r="I1399" s="61"/>
      <c r="J1399" s="61"/>
      <c r="K1399" s="61"/>
      <c r="L1399" s="61"/>
      <c r="M1399" s="61"/>
      <c r="N1399" s="61"/>
      <c r="O1399" s="61"/>
      <c r="P1399" s="61"/>
      <c r="Q1399" s="61"/>
      <c r="R1399" s="61"/>
      <c r="S1399" s="61"/>
      <c r="T1399" s="61"/>
      <c r="U1399" s="61"/>
      <c r="V1399" s="61"/>
      <c r="W1399" s="61"/>
      <c r="X1399" s="61"/>
      <c r="Y1399" s="61"/>
      <c r="Z1399" s="61"/>
      <c r="AA1399" s="61"/>
      <c r="AB1399" s="61"/>
      <c r="AC1399" s="61"/>
    </row>
    <row r="1400" ht="15.75" customHeight="1">
      <c r="A1400" s="61"/>
      <c r="B1400" s="61"/>
      <c r="C1400" s="61"/>
      <c r="D1400" s="61"/>
      <c r="E1400" s="61"/>
      <c r="F1400" s="61"/>
      <c r="G1400" s="61"/>
      <c r="H1400" s="61"/>
      <c r="I1400" s="61"/>
      <c r="J1400" s="61"/>
      <c r="K1400" s="61"/>
      <c r="L1400" s="61"/>
      <c r="M1400" s="61"/>
      <c r="N1400" s="61"/>
      <c r="O1400" s="61"/>
      <c r="P1400" s="61"/>
      <c r="Q1400" s="61"/>
      <c r="R1400" s="61"/>
      <c r="S1400" s="61"/>
      <c r="T1400" s="61"/>
      <c r="U1400" s="61"/>
      <c r="V1400" s="61"/>
      <c r="W1400" s="61"/>
      <c r="X1400" s="61"/>
      <c r="Y1400" s="61"/>
      <c r="Z1400" s="61"/>
      <c r="AA1400" s="61"/>
      <c r="AB1400" s="61"/>
      <c r="AC1400" s="61"/>
    </row>
    <row r="1401" ht="15.75" customHeight="1">
      <c r="A1401" s="61"/>
      <c r="B1401" s="61"/>
      <c r="C1401" s="61"/>
      <c r="D1401" s="61"/>
      <c r="E1401" s="61"/>
      <c r="F1401" s="61"/>
      <c r="G1401" s="61"/>
      <c r="H1401" s="61"/>
      <c r="I1401" s="61"/>
      <c r="J1401" s="61"/>
      <c r="K1401" s="61"/>
      <c r="L1401" s="61"/>
      <c r="M1401" s="61"/>
      <c r="N1401" s="61"/>
      <c r="O1401" s="61"/>
      <c r="P1401" s="61"/>
      <c r="Q1401" s="61"/>
      <c r="R1401" s="61"/>
      <c r="S1401" s="61"/>
      <c r="T1401" s="61"/>
      <c r="U1401" s="61"/>
      <c r="V1401" s="61"/>
      <c r="W1401" s="61"/>
      <c r="X1401" s="61"/>
      <c r="Y1401" s="61"/>
      <c r="Z1401" s="61"/>
      <c r="AA1401" s="61"/>
      <c r="AB1401" s="61"/>
      <c r="AC1401" s="61"/>
    </row>
    <row r="1402" ht="15.75" customHeight="1">
      <c r="A1402" s="61"/>
      <c r="B1402" s="61"/>
      <c r="C1402" s="61"/>
      <c r="D1402" s="61"/>
      <c r="E1402" s="61"/>
      <c r="F1402" s="61"/>
      <c r="G1402" s="61"/>
      <c r="H1402" s="61"/>
      <c r="I1402" s="61"/>
      <c r="J1402" s="61"/>
      <c r="K1402" s="61"/>
      <c r="L1402" s="61"/>
      <c r="M1402" s="61"/>
      <c r="N1402" s="61"/>
      <c r="O1402" s="61"/>
      <c r="P1402" s="61"/>
      <c r="Q1402" s="61"/>
      <c r="R1402" s="61"/>
      <c r="S1402" s="61"/>
      <c r="T1402" s="61"/>
      <c r="U1402" s="61"/>
      <c r="V1402" s="61"/>
      <c r="W1402" s="61"/>
      <c r="X1402" s="61"/>
      <c r="Y1402" s="61"/>
      <c r="Z1402" s="61"/>
      <c r="AA1402" s="61"/>
      <c r="AB1402" s="61"/>
      <c r="AC1402" s="61"/>
    </row>
    <row r="1403" ht="15.75" customHeight="1">
      <c r="A1403" s="61"/>
      <c r="B1403" s="61"/>
      <c r="C1403" s="61"/>
      <c r="D1403" s="61"/>
      <c r="E1403" s="61"/>
      <c r="F1403" s="61"/>
      <c r="G1403" s="61"/>
      <c r="H1403" s="61"/>
      <c r="I1403" s="61"/>
      <c r="J1403" s="61"/>
      <c r="K1403" s="61"/>
      <c r="L1403" s="61"/>
      <c r="M1403" s="61"/>
      <c r="N1403" s="61"/>
      <c r="O1403" s="61"/>
      <c r="P1403" s="61"/>
      <c r="Q1403" s="61"/>
      <c r="R1403" s="61"/>
      <c r="S1403" s="61"/>
      <c r="T1403" s="61"/>
      <c r="U1403" s="61"/>
      <c r="V1403" s="61"/>
      <c r="W1403" s="61"/>
      <c r="X1403" s="61"/>
      <c r="Y1403" s="61"/>
      <c r="Z1403" s="61"/>
      <c r="AA1403" s="61"/>
      <c r="AB1403" s="61"/>
      <c r="AC1403" s="61"/>
    </row>
    <row r="1404" ht="15.75" customHeight="1">
      <c r="A1404" s="61"/>
      <c r="B1404" s="61"/>
      <c r="C1404" s="61"/>
      <c r="D1404" s="61"/>
      <c r="E1404" s="61"/>
      <c r="F1404" s="61"/>
      <c r="G1404" s="61"/>
      <c r="H1404" s="61"/>
      <c r="I1404" s="61"/>
      <c r="J1404" s="61"/>
      <c r="K1404" s="61"/>
      <c r="L1404" s="61"/>
      <c r="M1404" s="61"/>
      <c r="N1404" s="61"/>
      <c r="O1404" s="61"/>
      <c r="P1404" s="61"/>
      <c r="Q1404" s="61"/>
      <c r="R1404" s="61"/>
      <c r="S1404" s="61"/>
      <c r="T1404" s="61"/>
      <c r="U1404" s="61"/>
      <c r="V1404" s="61"/>
      <c r="W1404" s="61"/>
      <c r="X1404" s="61"/>
      <c r="Y1404" s="61"/>
      <c r="Z1404" s="61"/>
      <c r="AA1404" s="61"/>
      <c r="AB1404" s="61"/>
      <c r="AC1404" s="61"/>
    </row>
    <row r="1405" ht="15.75" customHeight="1">
      <c r="A1405" s="61"/>
      <c r="B1405" s="61"/>
      <c r="C1405" s="61"/>
      <c r="D1405" s="61"/>
      <c r="E1405" s="61"/>
      <c r="F1405" s="61"/>
      <c r="G1405" s="61"/>
      <c r="H1405" s="61"/>
      <c r="I1405" s="61"/>
      <c r="J1405" s="61"/>
      <c r="K1405" s="61"/>
      <c r="L1405" s="61"/>
      <c r="M1405" s="61"/>
      <c r="N1405" s="61"/>
      <c r="O1405" s="61"/>
      <c r="P1405" s="61"/>
      <c r="Q1405" s="61"/>
      <c r="R1405" s="61"/>
      <c r="S1405" s="61"/>
      <c r="T1405" s="61"/>
      <c r="U1405" s="61"/>
      <c r="V1405" s="61"/>
      <c r="W1405" s="61"/>
      <c r="X1405" s="61"/>
      <c r="Y1405" s="61"/>
      <c r="Z1405" s="61"/>
      <c r="AA1405" s="61"/>
      <c r="AB1405" s="61"/>
      <c r="AC1405" s="61"/>
    </row>
    <row r="1406" ht="15.75" customHeight="1">
      <c r="A1406" s="61"/>
      <c r="B1406" s="61"/>
      <c r="C1406" s="61"/>
      <c r="D1406" s="61"/>
      <c r="E1406" s="61"/>
      <c r="F1406" s="61"/>
      <c r="G1406" s="61"/>
      <c r="H1406" s="61"/>
      <c r="I1406" s="61"/>
      <c r="J1406" s="61"/>
      <c r="K1406" s="61"/>
      <c r="L1406" s="61"/>
      <c r="M1406" s="61"/>
      <c r="N1406" s="61"/>
      <c r="O1406" s="61"/>
      <c r="P1406" s="61"/>
      <c r="Q1406" s="61"/>
      <c r="R1406" s="61"/>
      <c r="S1406" s="61"/>
      <c r="T1406" s="61"/>
      <c r="U1406" s="61"/>
      <c r="V1406" s="61"/>
      <c r="W1406" s="61"/>
      <c r="X1406" s="61"/>
      <c r="Y1406" s="61"/>
      <c r="Z1406" s="61"/>
      <c r="AA1406" s="61"/>
      <c r="AB1406" s="61"/>
      <c r="AC1406" s="61"/>
    </row>
    <row r="1407" ht="15.75" customHeight="1">
      <c r="A1407" s="61"/>
      <c r="B1407" s="61"/>
      <c r="C1407" s="61"/>
      <c r="D1407" s="61"/>
      <c r="E1407" s="61"/>
      <c r="F1407" s="61"/>
      <c r="G1407" s="61"/>
      <c r="H1407" s="61"/>
      <c r="I1407" s="61"/>
      <c r="J1407" s="61"/>
      <c r="K1407" s="61"/>
      <c r="L1407" s="61"/>
      <c r="M1407" s="61"/>
      <c r="N1407" s="61"/>
      <c r="O1407" s="61"/>
      <c r="P1407" s="61"/>
      <c r="Q1407" s="61"/>
      <c r="R1407" s="61"/>
      <c r="S1407" s="61"/>
      <c r="T1407" s="61"/>
      <c r="U1407" s="61"/>
      <c r="V1407" s="61"/>
      <c r="W1407" s="61"/>
      <c r="X1407" s="61"/>
      <c r="Y1407" s="61"/>
      <c r="Z1407" s="61"/>
      <c r="AA1407" s="61"/>
      <c r="AB1407" s="61"/>
      <c r="AC1407" s="61"/>
    </row>
    <row r="1408" ht="15.75" customHeight="1">
      <c r="A1408" s="61"/>
      <c r="B1408" s="61"/>
      <c r="C1408" s="61"/>
      <c r="D1408" s="61"/>
      <c r="E1408" s="61"/>
      <c r="F1408" s="61"/>
      <c r="G1408" s="61"/>
      <c r="H1408" s="61"/>
      <c r="I1408" s="61"/>
      <c r="J1408" s="61"/>
      <c r="K1408" s="61"/>
      <c r="L1408" s="61"/>
      <c r="M1408" s="61"/>
      <c r="N1408" s="61"/>
      <c r="O1408" s="61"/>
      <c r="P1408" s="61"/>
      <c r="Q1408" s="61"/>
      <c r="R1408" s="61"/>
      <c r="S1408" s="61"/>
      <c r="T1408" s="61"/>
      <c r="U1408" s="61"/>
      <c r="V1408" s="61"/>
      <c r="W1408" s="61"/>
      <c r="X1408" s="61"/>
      <c r="Y1408" s="61"/>
      <c r="Z1408" s="61"/>
      <c r="AA1408" s="61"/>
      <c r="AB1408" s="61"/>
      <c r="AC1408" s="61"/>
    </row>
    <row r="1409" ht="15.75" customHeight="1">
      <c r="A1409" s="61"/>
      <c r="B1409" s="61"/>
      <c r="C1409" s="61"/>
      <c r="D1409" s="61"/>
      <c r="E1409" s="61"/>
      <c r="F1409" s="61"/>
      <c r="G1409" s="61"/>
      <c r="H1409" s="61"/>
      <c r="I1409" s="61"/>
      <c r="J1409" s="61"/>
      <c r="K1409" s="61"/>
      <c r="L1409" s="61"/>
      <c r="M1409" s="61"/>
      <c r="N1409" s="61"/>
      <c r="O1409" s="61"/>
      <c r="P1409" s="61"/>
      <c r="Q1409" s="61"/>
      <c r="R1409" s="61"/>
      <c r="S1409" s="61"/>
      <c r="T1409" s="61"/>
      <c r="U1409" s="61"/>
      <c r="V1409" s="61"/>
      <c r="W1409" s="61"/>
      <c r="X1409" s="61"/>
      <c r="Y1409" s="61"/>
      <c r="Z1409" s="61"/>
      <c r="AA1409" s="61"/>
      <c r="AB1409" s="61"/>
      <c r="AC1409" s="61"/>
    </row>
    <row r="1410" ht="15.75" customHeight="1">
      <c r="A1410" s="61"/>
      <c r="B1410" s="61"/>
      <c r="C1410" s="61"/>
      <c r="D1410" s="61"/>
      <c r="E1410" s="61"/>
      <c r="F1410" s="61"/>
      <c r="G1410" s="61"/>
      <c r="H1410" s="61"/>
      <c r="I1410" s="61"/>
      <c r="J1410" s="61"/>
      <c r="K1410" s="61"/>
      <c r="L1410" s="61"/>
      <c r="M1410" s="61"/>
      <c r="N1410" s="61"/>
      <c r="O1410" s="61"/>
      <c r="P1410" s="61"/>
      <c r="Q1410" s="61"/>
      <c r="R1410" s="61"/>
      <c r="S1410" s="61"/>
      <c r="T1410" s="61"/>
      <c r="U1410" s="61"/>
      <c r="V1410" s="61"/>
      <c r="W1410" s="61"/>
      <c r="X1410" s="61"/>
      <c r="Y1410" s="61"/>
      <c r="Z1410" s="61"/>
      <c r="AA1410" s="61"/>
      <c r="AB1410" s="61"/>
      <c r="AC1410" s="61"/>
    </row>
    <row r="1411" ht="15.75" customHeight="1">
      <c r="A1411" s="61"/>
      <c r="B1411" s="61"/>
      <c r="C1411" s="61"/>
      <c r="D1411" s="61"/>
      <c r="E1411" s="61"/>
      <c r="F1411" s="61"/>
      <c r="G1411" s="61"/>
      <c r="H1411" s="61"/>
      <c r="I1411" s="61"/>
      <c r="J1411" s="61"/>
      <c r="K1411" s="61"/>
      <c r="L1411" s="61"/>
      <c r="M1411" s="61"/>
      <c r="N1411" s="61"/>
      <c r="O1411" s="61"/>
      <c r="P1411" s="61"/>
      <c r="Q1411" s="61"/>
      <c r="R1411" s="61"/>
      <c r="S1411" s="61"/>
      <c r="T1411" s="61"/>
      <c r="U1411" s="61"/>
      <c r="V1411" s="61"/>
      <c r="W1411" s="61"/>
      <c r="X1411" s="61"/>
      <c r="Y1411" s="61"/>
      <c r="Z1411" s="61"/>
      <c r="AA1411" s="61"/>
      <c r="AB1411" s="61"/>
      <c r="AC1411" s="61"/>
    </row>
    <row r="1412" ht="15.75" customHeight="1">
      <c r="A1412" s="61"/>
      <c r="B1412" s="61"/>
      <c r="C1412" s="61"/>
      <c r="D1412" s="61"/>
      <c r="E1412" s="61"/>
      <c r="F1412" s="61"/>
      <c r="G1412" s="61"/>
      <c r="H1412" s="61"/>
      <c r="I1412" s="61"/>
      <c r="J1412" s="61"/>
      <c r="K1412" s="61"/>
      <c r="L1412" s="61"/>
      <c r="M1412" s="61"/>
      <c r="N1412" s="61"/>
      <c r="O1412" s="61"/>
      <c r="P1412" s="61"/>
      <c r="Q1412" s="61"/>
      <c r="R1412" s="61"/>
      <c r="S1412" s="61"/>
      <c r="T1412" s="61"/>
      <c r="U1412" s="61"/>
      <c r="V1412" s="61"/>
      <c r="W1412" s="61"/>
      <c r="X1412" s="61"/>
      <c r="Y1412" s="61"/>
      <c r="Z1412" s="61"/>
      <c r="AA1412" s="61"/>
      <c r="AB1412" s="61"/>
      <c r="AC1412" s="61"/>
    </row>
    <row r="1413" ht="15.75" customHeight="1">
      <c r="A1413" s="61"/>
      <c r="B1413" s="61"/>
      <c r="C1413" s="61"/>
      <c r="D1413" s="61"/>
      <c r="E1413" s="61"/>
      <c r="F1413" s="61"/>
      <c r="G1413" s="61"/>
      <c r="H1413" s="61"/>
      <c r="I1413" s="61"/>
      <c r="J1413" s="61"/>
      <c r="K1413" s="61"/>
      <c r="L1413" s="61"/>
      <c r="M1413" s="61"/>
      <c r="N1413" s="61"/>
      <c r="O1413" s="61"/>
      <c r="P1413" s="61"/>
      <c r="Q1413" s="61"/>
      <c r="R1413" s="61"/>
      <c r="S1413" s="61"/>
      <c r="T1413" s="61"/>
      <c r="U1413" s="61"/>
      <c r="V1413" s="61"/>
      <c r="W1413" s="61"/>
      <c r="X1413" s="61"/>
      <c r="Y1413" s="61"/>
      <c r="Z1413" s="61"/>
      <c r="AA1413" s="61"/>
      <c r="AB1413" s="61"/>
      <c r="AC1413" s="61"/>
    </row>
    <row r="1414" ht="15.75" customHeight="1">
      <c r="A1414" s="61"/>
      <c r="B1414" s="61"/>
      <c r="C1414" s="61"/>
      <c r="D1414" s="61"/>
      <c r="E1414" s="61"/>
      <c r="F1414" s="61"/>
      <c r="G1414" s="61"/>
      <c r="H1414" s="61"/>
      <c r="I1414" s="61"/>
      <c r="J1414" s="61"/>
      <c r="K1414" s="61"/>
      <c r="L1414" s="61"/>
      <c r="M1414" s="61"/>
      <c r="N1414" s="61"/>
      <c r="O1414" s="61"/>
      <c r="P1414" s="61"/>
      <c r="Q1414" s="61"/>
      <c r="R1414" s="61"/>
      <c r="S1414" s="61"/>
      <c r="T1414" s="61"/>
      <c r="U1414" s="61"/>
      <c r="V1414" s="61"/>
      <c r="W1414" s="61"/>
      <c r="X1414" s="61"/>
      <c r="Y1414" s="61"/>
      <c r="Z1414" s="61"/>
      <c r="AA1414" s="61"/>
      <c r="AB1414" s="61"/>
      <c r="AC1414" s="61"/>
    </row>
    <row r="1415" ht="15.75" customHeight="1">
      <c r="A1415" s="61"/>
      <c r="B1415" s="61"/>
      <c r="C1415" s="61"/>
      <c r="D1415" s="61"/>
      <c r="E1415" s="61"/>
      <c r="F1415" s="61"/>
      <c r="G1415" s="61"/>
      <c r="H1415" s="61"/>
      <c r="I1415" s="61"/>
      <c r="J1415" s="61"/>
      <c r="K1415" s="61"/>
      <c r="L1415" s="61"/>
      <c r="M1415" s="61"/>
      <c r="N1415" s="61"/>
      <c r="O1415" s="61"/>
      <c r="P1415" s="61"/>
      <c r="Q1415" s="61"/>
      <c r="R1415" s="61"/>
      <c r="S1415" s="61"/>
      <c r="T1415" s="61"/>
      <c r="U1415" s="61"/>
      <c r="V1415" s="61"/>
      <c r="W1415" s="61"/>
      <c r="X1415" s="61"/>
      <c r="Y1415" s="61"/>
      <c r="Z1415" s="61"/>
      <c r="AA1415" s="61"/>
      <c r="AB1415" s="61"/>
      <c r="AC1415" s="61"/>
    </row>
    <row r="1416" ht="15.75" customHeight="1">
      <c r="A1416" s="61"/>
      <c r="B1416" s="61"/>
      <c r="C1416" s="61"/>
      <c r="D1416" s="61"/>
      <c r="E1416" s="61"/>
      <c r="F1416" s="61"/>
      <c r="G1416" s="61"/>
      <c r="H1416" s="61"/>
      <c r="I1416" s="61"/>
      <c r="J1416" s="61"/>
      <c r="K1416" s="61"/>
      <c r="L1416" s="61"/>
      <c r="M1416" s="61"/>
      <c r="N1416" s="61"/>
      <c r="O1416" s="61"/>
      <c r="P1416" s="61"/>
      <c r="Q1416" s="61"/>
      <c r="R1416" s="61"/>
      <c r="S1416" s="61"/>
      <c r="T1416" s="61"/>
      <c r="U1416" s="61"/>
      <c r="V1416" s="61"/>
      <c r="W1416" s="61"/>
      <c r="X1416" s="61"/>
      <c r="Y1416" s="61"/>
      <c r="Z1416" s="61"/>
      <c r="AA1416" s="61"/>
      <c r="AB1416" s="61"/>
      <c r="AC1416" s="61"/>
    </row>
    <row r="1417" ht="15.75" customHeight="1">
      <c r="A1417" s="61"/>
      <c r="B1417" s="61"/>
      <c r="C1417" s="61"/>
      <c r="D1417" s="61"/>
      <c r="E1417" s="61"/>
      <c r="F1417" s="61"/>
      <c r="G1417" s="61"/>
      <c r="H1417" s="61"/>
      <c r="I1417" s="61"/>
      <c r="J1417" s="61"/>
      <c r="K1417" s="61"/>
      <c r="L1417" s="61"/>
      <c r="M1417" s="61"/>
      <c r="N1417" s="61"/>
      <c r="O1417" s="61"/>
      <c r="P1417" s="61"/>
      <c r="Q1417" s="61"/>
      <c r="R1417" s="61"/>
      <c r="S1417" s="61"/>
      <c r="T1417" s="61"/>
      <c r="U1417" s="61"/>
      <c r="V1417" s="61"/>
      <c r="W1417" s="61"/>
      <c r="X1417" s="61"/>
      <c r="Y1417" s="61"/>
      <c r="Z1417" s="61"/>
      <c r="AA1417" s="61"/>
      <c r="AB1417" s="61"/>
      <c r="AC1417" s="61"/>
    </row>
    <row r="1418" ht="15.75" customHeight="1">
      <c r="A1418" s="61"/>
      <c r="B1418" s="61"/>
      <c r="C1418" s="61"/>
      <c r="D1418" s="61"/>
      <c r="E1418" s="61"/>
      <c r="F1418" s="61"/>
      <c r="G1418" s="61"/>
      <c r="H1418" s="61"/>
      <c r="I1418" s="61"/>
      <c r="J1418" s="61"/>
      <c r="K1418" s="61"/>
      <c r="L1418" s="61"/>
      <c r="M1418" s="61"/>
      <c r="N1418" s="61"/>
      <c r="O1418" s="61"/>
      <c r="P1418" s="61"/>
      <c r="Q1418" s="61"/>
      <c r="R1418" s="61"/>
      <c r="S1418" s="61"/>
      <c r="T1418" s="61"/>
      <c r="U1418" s="61"/>
      <c r="V1418" s="61"/>
      <c r="W1418" s="61"/>
      <c r="X1418" s="61"/>
      <c r="Y1418" s="61"/>
      <c r="Z1418" s="61"/>
      <c r="AA1418" s="61"/>
      <c r="AB1418" s="61"/>
      <c r="AC1418" s="61"/>
    </row>
    <row r="1419" ht="15.75" customHeight="1">
      <c r="A1419" s="61"/>
      <c r="B1419" s="61"/>
      <c r="C1419" s="61"/>
      <c r="D1419" s="61"/>
      <c r="E1419" s="61"/>
      <c r="F1419" s="61"/>
      <c r="G1419" s="61"/>
      <c r="H1419" s="61"/>
      <c r="I1419" s="61"/>
      <c r="J1419" s="61"/>
      <c r="K1419" s="61"/>
      <c r="L1419" s="61"/>
      <c r="M1419" s="61"/>
      <c r="N1419" s="61"/>
      <c r="O1419" s="61"/>
      <c r="P1419" s="61"/>
      <c r="Q1419" s="61"/>
      <c r="R1419" s="61"/>
      <c r="S1419" s="61"/>
      <c r="T1419" s="61"/>
      <c r="U1419" s="61"/>
      <c r="V1419" s="61"/>
      <c r="W1419" s="61"/>
      <c r="X1419" s="61"/>
      <c r="Y1419" s="61"/>
      <c r="Z1419" s="61"/>
      <c r="AA1419" s="61"/>
      <c r="AB1419" s="61"/>
      <c r="AC1419" s="61"/>
    </row>
    <row r="1420" ht="15.75" customHeight="1">
      <c r="A1420" s="61"/>
      <c r="B1420" s="61"/>
      <c r="C1420" s="61"/>
      <c r="D1420" s="61"/>
      <c r="E1420" s="61"/>
      <c r="F1420" s="61"/>
      <c r="G1420" s="61"/>
      <c r="H1420" s="61"/>
      <c r="I1420" s="61"/>
      <c r="J1420" s="61"/>
      <c r="K1420" s="61"/>
      <c r="L1420" s="61"/>
      <c r="M1420" s="61"/>
      <c r="N1420" s="61"/>
      <c r="O1420" s="61"/>
      <c r="P1420" s="61"/>
      <c r="Q1420" s="61"/>
      <c r="R1420" s="61"/>
      <c r="S1420" s="61"/>
      <c r="T1420" s="61"/>
      <c r="U1420" s="61"/>
      <c r="V1420" s="61"/>
      <c r="W1420" s="61"/>
      <c r="X1420" s="61"/>
      <c r="Y1420" s="61"/>
      <c r="Z1420" s="61"/>
      <c r="AA1420" s="61"/>
      <c r="AB1420" s="61"/>
      <c r="AC1420" s="61"/>
    </row>
    <row r="1421" ht="15.75" customHeight="1">
      <c r="A1421" s="61"/>
      <c r="B1421" s="61"/>
      <c r="C1421" s="61"/>
      <c r="D1421" s="61"/>
      <c r="E1421" s="61"/>
      <c r="F1421" s="61"/>
      <c r="G1421" s="61"/>
      <c r="H1421" s="61"/>
      <c r="I1421" s="61"/>
      <c r="J1421" s="61"/>
      <c r="K1421" s="61"/>
      <c r="L1421" s="61"/>
      <c r="M1421" s="61"/>
      <c r="N1421" s="61"/>
      <c r="O1421" s="61"/>
      <c r="P1421" s="61"/>
      <c r="Q1421" s="61"/>
      <c r="R1421" s="61"/>
      <c r="S1421" s="61"/>
      <c r="T1421" s="61"/>
      <c r="U1421" s="61"/>
      <c r="V1421" s="61"/>
      <c r="W1421" s="61"/>
      <c r="X1421" s="61"/>
      <c r="Y1421" s="61"/>
      <c r="Z1421" s="61"/>
      <c r="AA1421" s="61"/>
      <c r="AB1421" s="61"/>
      <c r="AC1421" s="61"/>
    </row>
    <row r="1422" ht="15.75" customHeight="1">
      <c r="A1422" s="61"/>
      <c r="B1422" s="61"/>
      <c r="C1422" s="61"/>
      <c r="D1422" s="61"/>
      <c r="E1422" s="61"/>
      <c r="F1422" s="61"/>
      <c r="G1422" s="61"/>
      <c r="H1422" s="61"/>
      <c r="I1422" s="61"/>
      <c r="J1422" s="61"/>
      <c r="K1422" s="61"/>
      <c r="L1422" s="61"/>
      <c r="M1422" s="61"/>
      <c r="N1422" s="61"/>
      <c r="O1422" s="61"/>
      <c r="P1422" s="61"/>
      <c r="Q1422" s="61"/>
      <c r="R1422" s="61"/>
      <c r="S1422" s="61"/>
      <c r="T1422" s="61"/>
      <c r="U1422" s="61"/>
      <c r="V1422" s="61"/>
      <c r="W1422" s="61"/>
      <c r="X1422" s="61"/>
      <c r="Y1422" s="61"/>
      <c r="Z1422" s="61"/>
      <c r="AA1422" s="61"/>
      <c r="AB1422" s="61"/>
      <c r="AC1422" s="61"/>
    </row>
    <row r="1423" ht="15.75" customHeight="1">
      <c r="A1423" s="61"/>
      <c r="B1423" s="61"/>
      <c r="C1423" s="61"/>
      <c r="D1423" s="61"/>
      <c r="E1423" s="61"/>
      <c r="F1423" s="61"/>
      <c r="G1423" s="61"/>
      <c r="H1423" s="61"/>
      <c r="I1423" s="61"/>
      <c r="J1423" s="61"/>
      <c r="K1423" s="61"/>
      <c r="L1423" s="61"/>
      <c r="M1423" s="61"/>
      <c r="N1423" s="61"/>
      <c r="O1423" s="61"/>
      <c r="P1423" s="61"/>
      <c r="Q1423" s="61"/>
      <c r="R1423" s="61"/>
      <c r="S1423" s="61"/>
      <c r="T1423" s="61"/>
      <c r="U1423" s="61"/>
      <c r="V1423" s="61"/>
      <c r="W1423" s="61"/>
      <c r="X1423" s="61"/>
      <c r="Y1423" s="61"/>
      <c r="Z1423" s="61"/>
      <c r="AA1423" s="61"/>
      <c r="AB1423" s="61"/>
      <c r="AC1423" s="61"/>
    </row>
    <row r="1424" ht="15.75" customHeight="1">
      <c r="A1424" s="61"/>
      <c r="B1424" s="61"/>
      <c r="C1424" s="61"/>
      <c r="D1424" s="61"/>
      <c r="E1424" s="61"/>
      <c r="F1424" s="61"/>
      <c r="G1424" s="61"/>
      <c r="H1424" s="61"/>
      <c r="I1424" s="61"/>
      <c r="J1424" s="61"/>
      <c r="K1424" s="61"/>
      <c r="L1424" s="61"/>
      <c r="M1424" s="61"/>
      <c r="N1424" s="61"/>
      <c r="O1424" s="61"/>
      <c r="P1424" s="61"/>
      <c r="Q1424" s="61"/>
      <c r="R1424" s="61"/>
      <c r="S1424" s="61"/>
      <c r="T1424" s="61"/>
      <c r="U1424" s="61"/>
      <c r="V1424" s="61"/>
      <c r="W1424" s="61"/>
      <c r="X1424" s="61"/>
      <c r="Y1424" s="61"/>
      <c r="Z1424" s="61"/>
      <c r="AA1424" s="61"/>
      <c r="AB1424" s="61"/>
      <c r="AC1424" s="61"/>
    </row>
    <row r="1425" ht="15.75" customHeight="1">
      <c r="A1425" s="61"/>
      <c r="B1425" s="61"/>
      <c r="C1425" s="61"/>
      <c r="D1425" s="61"/>
      <c r="E1425" s="61"/>
      <c r="F1425" s="61"/>
      <c r="G1425" s="61"/>
      <c r="H1425" s="61"/>
      <c r="I1425" s="61"/>
      <c r="J1425" s="61"/>
      <c r="K1425" s="61"/>
      <c r="L1425" s="61"/>
      <c r="M1425" s="61"/>
      <c r="N1425" s="61"/>
      <c r="O1425" s="61"/>
      <c r="P1425" s="61"/>
      <c r="Q1425" s="61"/>
      <c r="R1425" s="61"/>
      <c r="S1425" s="61"/>
      <c r="T1425" s="61"/>
      <c r="U1425" s="61"/>
      <c r="V1425" s="61"/>
      <c r="W1425" s="61"/>
      <c r="X1425" s="61"/>
      <c r="Y1425" s="61"/>
      <c r="Z1425" s="61"/>
      <c r="AA1425" s="61"/>
      <c r="AB1425" s="61"/>
      <c r="AC1425" s="61"/>
    </row>
    <row r="1426" ht="15.75" customHeight="1">
      <c r="A1426" s="61"/>
      <c r="B1426" s="61"/>
      <c r="C1426" s="61"/>
      <c r="D1426" s="61"/>
      <c r="E1426" s="61"/>
      <c r="F1426" s="61"/>
      <c r="G1426" s="61"/>
      <c r="H1426" s="61"/>
      <c r="I1426" s="61"/>
      <c r="J1426" s="61"/>
      <c r="K1426" s="61"/>
      <c r="L1426" s="61"/>
      <c r="M1426" s="61"/>
      <c r="N1426" s="61"/>
      <c r="O1426" s="61"/>
      <c r="P1426" s="61"/>
      <c r="Q1426" s="61"/>
      <c r="R1426" s="61"/>
      <c r="S1426" s="61"/>
      <c r="T1426" s="61"/>
      <c r="U1426" s="61"/>
      <c r="V1426" s="61"/>
      <c r="W1426" s="61"/>
      <c r="X1426" s="61"/>
      <c r="Y1426" s="61"/>
      <c r="Z1426" s="61"/>
      <c r="AA1426" s="61"/>
      <c r="AB1426" s="61"/>
      <c r="AC1426" s="61"/>
    </row>
    <row r="1427" ht="15.75" customHeight="1">
      <c r="A1427" s="61"/>
      <c r="B1427" s="61"/>
      <c r="C1427" s="61"/>
      <c r="D1427" s="61"/>
      <c r="E1427" s="61"/>
      <c r="F1427" s="61"/>
      <c r="G1427" s="61"/>
      <c r="H1427" s="61"/>
      <c r="I1427" s="61"/>
      <c r="J1427" s="61"/>
      <c r="K1427" s="61"/>
      <c r="L1427" s="61"/>
      <c r="M1427" s="61"/>
      <c r="N1427" s="61"/>
      <c r="O1427" s="61"/>
      <c r="P1427" s="61"/>
      <c r="Q1427" s="61"/>
      <c r="R1427" s="61"/>
      <c r="S1427" s="61"/>
      <c r="T1427" s="61"/>
      <c r="U1427" s="61"/>
      <c r="V1427" s="61"/>
      <c r="W1427" s="61"/>
      <c r="X1427" s="61"/>
      <c r="Y1427" s="61"/>
      <c r="Z1427" s="61"/>
      <c r="AA1427" s="61"/>
      <c r="AB1427" s="61"/>
      <c r="AC1427" s="61"/>
    </row>
    <row r="1428" ht="15.75" customHeight="1">
      <c r="A1428" s="61"/>
      <c r="B1428" s="61"/>
      <c r="C1428" s="61"/>
      <c r="D1428" s="61"/>
      <c r="E1428" s="61"/>
      <c r="F1428" s="61"/>
      <c r="G1428" s="61"/>
      <c r="H1428" s="61"/>
      <c r="I1428" s="61"/>
      <c r="J1428" s="61"/>
      <c r="K1428" s="61"/>
      <c r="L1428" s="61"/>
      <c r="M1428" s="61"/>
      <c r="N1428" s="61"/>
      <c r="O1428" s="61"/>
      <c r="P1428" s="61"/>
      <c r="Q1428" s="61"/>
      <c r="R1428" s="61"/>
      <c r="S1428" s="61"/>
      <c r="T1428" s="61"/>
      <c r="U1428" s="61"/>
      <c r="V1428" s="61"/>
      <c r="W1428" s="61"/>
      <c r="X1428" s="61"/>
      <c r="Y1428" s="61"/>
      <c r="Z1428" s="61"/>
      <c r="AA1428" s="61"/>
      <c r="AB1428" s="61"/>
      <c r="AC1428" s="61"/>
    </row>
    <row r="1429" ht="15.75" customHeight="1">
      <c r="A1429" s="61"/>
      <c r="B1429" s="61"/>
      <c r="C1429" s="61"/>
      <c r="D1429" s="61"/>
      <c r="E1429" s="61"/>
      <c r="F1429" s="61"/>
      <c r="G1429" s="61"/>
      <c r="H1429" s="61"/>
      <c r="I1429" s="61"/>
      <c r="J1429" s="61"/>
      <c r="K1429" s="61"/>
      <c r="L1429" s="61"/>
      <c r="M1429" s="61"/>
      <c r="N1429" s="61"/>
      <c r="O1429" s="61"/>
      <c r="P1429" s="61"/>
      <c r="Q1429" s="61"/>
      <c r="R1429" s="61"/>
      <c r="S1429" s="61"/>
      <c r="T1429" s="61"/>
      <c r="U1429" s="61"/>
      <c r="V1429" s="61"/>
      <c r="W1429" s="61"/>
      <c r="X1429" s="61"/>
      <c r="Y1429" s="61"/>
      <c r="Z1429" s="61"/>
      <c r="AA1429" s="61"/>
      <c r="AB1429" s="61"/>
      <c r="AC1429" s="61"/>
    </row>
    <row r="1430" ht="15.75" customHeight="1">
      <c r="A1430" s="61"/>
      <c r="B1430" s="61"/>
      <c r="C1430" s="61"/>
      <c r="D1430" s="61"/>
      <c r="E1430" s="61"/>
      <c r="F1430" s="61"/>
      <c r="G1430" s="61"/>
      <c r="H1430" s="61"/>
      <c r="I1430" s="61"/>
      <c r="J1430" s="61"/>
      <c r="K1430" s="61"/>
      <c r="L1430" s="61"/>
      <c r="M1430" s="61"/>
      <c r="N1430" s="61"/>
      <c r="O1430" s="61"/>
      <c r="P1430" s="61"/>
      <c r="Q1430" s="61"/>
      <c r="R1430" s="61"/>
      <c r="S1430" s="61"/>
      <c r="T1430" s="61"/>
      <c r="U1430" s="61"/>
      <c r="V1430" s="61"/>
      <c r="W1430" s="61"/>
      <c r="X1430" s="61"/>
      <c r="Y1430" s="61"/>
      <c r="Z1430" s="61"/>
      <c r="AA1430" s="61"/>
      <c r="AB1430" s="61"/>
      <c r="AC1430" s="61"/>
    </row>
    <row r="1431" ht="15.75" customHeight="1">
      <c r="A1431" s="61"/>
      <c r="B1431" s="61"/>
      <c r="C1431" s="61"/>
      <c r="D1431" s="61"/>
      <c r="E1431" s="61"/>
      <c r="F1431" s="61"/>
      <c r="G1431" s="61"/>
      <c r="H1431" s="61"/>
      <c r="I1431" s="61"/>
      <c r="J1431" s="61"/>
      <c r="K1431" s="61"/>
      <c r="L1431" s="61"/>
      <c r="M1431" s="61"/>
      <c r="N1431" s="61"/>
      <c r="O1431" s="61"/>
      <c r="P1431" s="61"/>
      <c r="Q1431" s="61"/>
      <c r="R1431" s="61"/>
      <c r="S1431" s="61"/>
      <c r="T1431" s="61"/>
      <c r="U1431" s="61"/>
      <c r="V1431" s="61"/>
      <c r="W1431" s="61"/>
      <c r="X1431" s="61"/>
      <c r="Y1431" s="61"/>
      <c r="Z1431" s="61"/>
      <c r="AA1431" s="61"/>
      <c r="AB1431" s="61"/>
      <c r="AC1431" s="61"/>
    </row>
    <row r="1432" ht="15.75" customHeight="1">
      <c r="A1432" s="61"/>
      <c r="B1432" s="61"/>
      <c r="C1432" s="61"/>
      <c r="D1432" s="61"/>
      <c r="E1432" s="61"/>
      <c r="F1432" s="61"/>
      <c r="G1432" s="61"/>
      <c r="H1432" s="61"/>
      <c r="I1432" s="61"/>
      <c r="J1432" s="61"/>
      <c r="K1432" s="61"/>
      <c r="L1432" s="61"/>
      <c r="M1432" s="61"/>
      <c r="N1432" s="61"/>
      <c r="O1432" s="61"/>
      <c r="P1432" s="61"/>
      <c r="Q1432" s="61"/>
      <c r="R1432" s="61"/>
      <c r="S1432" s="61"/>
      <c r="T1432" s="61"/>
      <c r="U1432" s="61"/>
      <c r="V1432" s="61"/>
      <c r="W1432" s="61"/>
      <c r="X1432" s="61"/>
      <c r="Y1432" s="61"/>
      <c r="Z1432" s="61"/>
      <c r="AA1432" s="61"/>
      <c r="AB1432" s="61"/>
      <c r="AC1432" s="61"/>
    </row>
    <row r="1433" ht="15.75" customHeight="1">
      <c r="A1433" s="61"/>
      <c r="B1433" s="61"/>
      <c r="C1433" s="61"/>
      <c r="D1433" s="61"/>
      <c r="E1433" s="61"/>
      <c r="F1433" s="61"/>
      <c r="G1433" s="61"/>
      <c r="H1433" s="61"/>
      <c r="I1433" s="61"/>
      <c r="J1433" s="61"/>
      <c r="K1433" s="61"/>
      <c r="L1433" s="61"/>
      <c r="M1433" s="61"/>
      <c r="N1433" s="61"/>
      <c r="O1433" s="61"/>
      <c r="P1433" s="61"/>
      <c r="Q1433" s="61"/>
      <c r="R1433" s="61"/>
      <c r="S1433" s="61"/>
      <c r="T1433" s="61"/>
      <c r="U1433" s="61"/>
      <c r="V1433" s="61"/>
      <c r="W1433" s="61"/>
      <c r="X1433" s="61"/>
      <c r="Y1433" s="61"/>
      <c r="Z1433" s="61"/>
      <c r="AA1433" s="61"/>
      <c r="AB1433" s="61"/>
      <c r="AC1433" s="61"/>
    </row>
    <row r="1434" ht="15.75" customHeight="1">
      <c r="A1434" s="61"/>
      <c r="B1434" s="61"/>
      <c r="C1434" s="61"/>
      <c r="D1434" s="61"/>
      <c r="E1434" s="61"/>
      <c r="F1434" s="61"/>
      <c r="G1434" s="61"/>
      <c r="H1434" s="61"/>
      <c r="I1434" s="61"/>
      <c r="J1434" s="61"/>
      <c r="K1434" s="61"/>
      <c r="L1434" s="61"/>
      <c r="M1434" s="61"/>
      <c r="N1434" s="61"/>
      <c r="O1434" s="61"/>
      <c r="P1434" s="61"/>
      <c r="Q1434" s="61"/>
      <c r="R1434" s="61"/>
      <c r="S1434" s="61"/>
      <c r="T1434" s="61"/>
      <c r="U1434" s="61"/>
      <c r="V1434" s="61"/>
      <c r="W1434" s="61"/>
      <c r="X1434" s="61"/>
      <c r="Y1434" s="61"/>
      <c r="Z1434" s="61"/>
      <c r="AA1434" s="61"/>
      <c r="AB1434" s="61"/>
      <c r="AC1434" s="61"/>
    </row>
    <row r="1435" ht="15.75" customHeight="1">
      <c r="A1435" s="61"/>
      <c r="B1435" s="61"/>
      <c r="C1435" s="61"/>
      <c r="D1435" s="61"/>
      <c r="E1435" s="61"/>
      <c r="F1435" s="61"/>
      <c r="G1435" s="61"/>
      <c r="H1435" s="61"/>
      <c r="I1435" s="61"/>
      <c r="J1435" s="61"/>
      <c r="K1435" s="61"/>
      <c r="L1435" s="61"/>
      <c r="M1435" s="61"/>
      <c r="N1435" s="61"/>
      <c r="O1435" s="61"/>
      <c r="P1435" s="61"/>
      <c r="Q1435" s="61"/>
      <c r="R1435" s="61"/>
      <c r="S1435" s="61"/>
      <c r="T1435" s="61"/>
      <c r="U1435" s="61"/>
      <c r="V1435" s="61"/>
      <c r="W1435" s="61"/>
      <c r="X1435" s="61"/>
      <c r="Y1435" s="61"/>
      <c r="Z1435" s="61"/>
      <c r="AA1435" s="61"/>
      <c r="AB1435" s="61"/>
      <c r="AC1435" s="61"/>
    </row>
    <row r="1436" ht="15.75" customHeight="1">
      <c r="A1436" s="61"/>
      <c r="B1436" s="61"/>
      <c r="C1436" s="61"/>
      <c r="D1436" s="61"/>
      <c r="E1436" s="61"/>
      <c r="F1436" s="61"/>
      <c r="G1436" s="61"/>
      <c r="H1436" s="61"/>
      <c r="I1436" s="61"/>
      <c r="J1436" s="61"/>
      <c r="K1436" s="61"/>
      <c r="L1436" s="61"/>
      <c r="M1436" s="61"/>
      <c r="N1436" s="61"/>
      <c r="O1436" s="61"/>
      <c r="P1436" s="61"/>
      <c r="Q1436" s="61"/>
      <c r="R1436" s="61"/>
      <c r="S1436" s="61"/>
      <c r="T1436" s="61"/>
      <c r="U1436" s="61"/>
      <c r="V1436" s="61"/>
      <c r="W1436" s="61"/>
      <c r="X1436" s="61"/>
      <c r="Y1436" s="61"/>
      <c r="Z1436" s="61"/>
      <c r="AA1436" s="61"/>
      <c r="AB1436" s="61"/>
      <c r="AC1436" s="61"/>
    </row>
    <row r="1437" ht="15.75" customHeight="1">
      <c r="A1437" s="61"/>
      <c r="B1437" s="61"/>
      <c r="C1437" s="61"/>
      <c r="D1437" s="61"/>
      <c r="E1437" s="61"/>
      <c r="F1437" s="61"/>
      <c r="G1437" s="61"/>
      <c r="H1437" s="61"/>
      <c r="I1437" s="61"/>
      <c r="J1437" s="61"/>
      <c r="K1437" s="61"/>
      <c r="L1437" s="61"/>
      <c r="M1437" s="61"/>
      <c r="N1437" s="61"/>
      <c r="O1437" s="61"/>
      <c r="P1437" s="61"/>
      <c r="Q1437" s="61"/>
      <c r="R1437" s="61"/>
      <c r="S1437" s="61"/>
      <c r="T1437" s="61"/>
      <c r="U1437" s="61"/>
      <c r="V1437" s="61"/>
      <c r="W1437" s="61"/>
      <c r="X1437" s="61"/>
      <c r="Y1437" s="61"/>
      <c r="Z1437" s="61"/>
      <c r="AA1437" s="61"/>
      <c r="AB1437" s="61"/>
      <c r="AC1437" s="61"/>
    </row>
    <row r="1438" ht="15.75" customHeight="1">
      <c r="A1438" s="61"/>
      <c r="B1438" s="61"/>
      <c r="C1438" s="61"/>
      <c r="D1438" s="61"/>
      <c r="E1438" s="61"/>
      <c r="F1438" s="61"/>
      <c r="G1438" s="61"/>
      <c r="H1438" s="61"/>
      <c r="I1438" s="61"/>
      <c r="J1438" s="61"/>
      <c r="K1438" s="61"/>
      <c r="L1438" s="61"/>
      <c r="M1438" s="61"/>
      <c r="N1438" s="61"/>
      <c r="O1438" s="61"/>
      <c r="P1438" s="61"/>
      <c r="Q1438" s="61"/>
      <c r="R1438" s="61"/>
      <c r="S1438" s="61"/>
      <c r="T1438" s="61"/>
      <c r="U1438" s="61"/>
      <c r="V1438" s="61"/>
      <c r="W1438" s="61"/>
      <c r="X1438" s="61"/>
      <c r="Y1438" s="61"/>
      <c r="Z1438" s="61"/>
      <c r="AA1438" s="61"/>
      <c r="AB1438" s="61"/>
      <c r="AC1438" s="61"/>
    </row>
    <row r="1439" ht="15.75" customHeight="1">
      <c r="A1439" s="61"/>
      <c r="B1439" s="61"/>
      <c r="C1439" s="61"/>
      <c r="D1439" s="61"/>
      <c r="E1439" s="61"/>
      <c r="F1439" s="61"/>
      <c r="G1439" s="61"/>
      <c r="H1439" s="61"/>
      <c r="I1439" s="61"/>
      <c r="J1439" s="61"/>
      <c r="K1439" s="61"/>
      <c r="L1439" s="61"/>
      <c r="M1439" s="61"/>
      <c r="N1439" s="61"/>
      <c r="O1439" s="61"/>
      <c r="P1439" s="61"/>
      <c r="Q1439" s="61"/>
      <c r="R1439" s="61"/>
      <c r="S1439" s="61"/>
      <c r="T1439" s="61"/>
      <c r="U1439" s="61"/>
      <c r="V1439" s="61"/>
      <c r="W1439" s="61"/>
      <c r="X1439" s="61"/>
      <c r="Y1439" s="61"/>
      <c r="Z1439" s="61"/>
      <c r="AA1439" s="61"/>
      <c r="AB1439" s="61"/>
      <c r="AC1439" s="61"/>
    </row>
    <row r="1440" ht="15.75" customHeight="1">
      <c r="A1440" s="61"/>
      <c r="B1440" s="61"/>
      <c r="C1440" s="61"/>
      <c r="D1440" s="61"/>
      <c r="E1440" s="61"/>
      <c r="F1440" s="61"/>
      <c r="G1440" s="61"/>
      <c r="H1440" s="61"/>
      <c r="I1440" s="61"/>
      <c r="J1440" s="61"/>
      <c r="K1440" s="61"/>
      <c r="L1440" s="61"/>
      <c r="M1440" s="61"/>
      <c r="N1440" s="61"/>
      <c r="O1440" s="61"/>
      <c r="P1440" s="61"/>
      <c r="Q1440" s="61"/>
      <c r="R1440" s="61"/>
      <c r="S1440" s="61"/>
      <c r="T1440" s="61"/>
      <c r="U1440" s="61"/>
      <c r="V1440" s="61"/>
      <c r="W1440" s="61"/>
      <c r="X1440" s="61"/>
      <c r="Y1440" s="61"/>
      <c r="Z1440" s="61"/>
      <c r="AA1440" s="61"/>
      <c r="AB1440" s="61"/>
      <c r="AC1440" s="61"/>
    </row>
    <row r="1441" ht="15.75" customHeight="1">
      <c r="A1441" s="61"/>
      <c r="B1441" s="61"/>
      <c r="C1441" s="61"/>
      <c r="D1441" s="61"/>
      <c r="E1441" s="61"/>
      <c r="F1441" s="61"/>
      <c r="G1441" s="61"/>
      <c r="H1441" s="61"/>
      <c r="I1441" s="61"/>
      <c r="J1441" s="61"/>
      <c r="K1441" s="61"/>
      <c r="L1441" s="61"/>
      <c r="M1441" s="61"/>
      <c r="N1441" s="61"/>
      <c r="O1441" s="61"/>
      <c r="P1441" s="61"/>
      <c r="Q1441" s="61"/>
      <c r="R1441" s="61"/>
      <c r="S1441" s="61"/>
      <c r="T1441" s="61"/>
      <c r="U1441" s="61"/>
      <c r="V1441" s="61"/>
      <c r="W1441" s="61"/>
      <c r="X1441" s="61"/>
      <c r="Y1441" s="61"/>
      <c r="Z1441" s="61"/>
      <c r="AA1441" s="61"/>
      <c r="AB1441" s="61"/>
      <c r="AC1441" s="61"/>
    </row>
    <row r="1442" ht="15.75" customHeight="1">
      <c r="A1442" s="61"/>
      <c r="B1442" s="61"/>
      <c r="C1442" s="61"/>
      <c r="D1442" s="61"/>
      <c r="E1442" s="61"/>
      <c r="F1442" s="61"/>
      <c r="G1442" s="61"/>
      <c r="H1442" s="61"/>
      <c r="I1442" s="61"/>
      <c r="J1442" s="61"/>
      <c r="K1442" s="61"/>
      <c r="L1442" s="61"/>
      <c r="M1442" s="61"/>
      <c r="N1442" s="61"/>
      <c r="O1442" s="61"/>
      <c r="P1442" s="61"/>
      <c r="Q1442" s="61"/>
      <c r="R1442" s="61"/>
      <c r="S1442" s="61"/>
      <c r="T1442" s="61"/>
      <c r="U1442" s="61"/>
      <c r="V1442" s="61"/>
      <c r="W1442" s="61"/>
      <c r="X1442" s="61"/>
      <c r="Y1442" s="61"/>
      <c r="Z1442" s="61"/>
      <c r="AA1442" s="61"/>
      <c r="AB1442" s="61"/>
      <c r="AC1442" s="61"/>
    </row>
    <row r="1443" ht="15.75" customHeight="1">
      <c r="A1443" s="61"/>
      <c r="B1443" s="61"/>
      <c r="C1443" s="61"/>
      <c r="D1443" s="61"/>
      <c r="E1443" s="61"/>
      <c r="F1443" s="61"/>
      <c r="G1443" s="61"/>
      <c r="H1443" s="61"/>
      <c r="I1443" s="61"/>
      <c r="J1443" s="61"/>
      <c r="K1443" s="61"/>
      <c r="L1443" s="61"/>
      <c r="M1443" s="61"/>
      <c r="N1443" s="61"/>
      <c r="O1443" s="61"/>
      <c r="P1443" s="61"/>
      <c r="Q1443" s="61"/>
      <c r="R1443" s="61"/>
      <c r="S1443" s="61"/>
      <c r="T1443" s="61"/>
      <c r="U1443" s="61"/>
      <c r="V1443" s="61"/>
      <c r="W1443" s="61"/>
      <c r="X1443" s="61"/>
      <c r="Y1443" s="61"/>
      <c r="Z1443" s="61"/>
      <c r="AA1443" s="61"/>
      <c r="AB1443" s="61"/>
      <c r="AC1443" s="61"/>
    </row>
    <row r="1444" ht="15.75" customHeight="1">
      <c r="A1444" s="61"/>
      <c r="B1444" s="61"/>
      <c r="C1444" s="61"/>
      <c r="D1444" s="61"/>
      <c r="E1444" s="61"/>
      <c r="F1444" s="61"/>
      <c r="G1444" s="61"/>
      <c r="H1444" s="61"/>
      <c r="I1444" s="61"/>
      <c r="J1444" s="61"/>
      <c r="K1444" s="61"/>
      <c r="L1444" s="61"/>
      <c r="M1444" s="61"/>
      <c r="N1444" s="61"/>
      <c r="O1444" s="61"/>
      <c r="P1444" s="61"/>
      <c r="Q1444" s="61"/>
      <c r="R1444" s="61"/>
      <c r="S1444" s="61"/>
      <c r="T1444" s="61"/>
      <c r="U1444" s="61"/>
      <c r="V1444" s="61"/>
      <c r="W1444" s="61"/>
      <c r="X1444" s="61"/>
      <c r="Y1444" s="61"/>
      <c r="Z1444" s="61"/>
      <c r="AA1444" s="61"/>
      <c r="AB1444" s="61"/>
      <c r="AC1444" s="61"/>
    </row>
    <row r="1445" ht="15.75" customHeight="1">
      <c r="A1445" s="61"/>
      <c r="B1445" s="61"/>
      <c r="C1445" s="61"/>
      <c r="D1445" s="61"/>
      <c r="E1445" s="61"/>
      <c r="F1445" s="61"/>
      <c r="G1445" s="61"/>
      <c r="H1445" s="61"/>
      <c r="I1445" s="61"/>
      <c r="J1445" s="61"/>
      <c r="K1445" s="61"/>
      <c r="L1445" s="61"/>
      <c r="M1445" s="61"/>
      <c r="N1445" s="61"/>
      <c r="O1445" s="61"/>
      <c r="P1445" s="61"/>
      <c r="Q1445" s="61"/>
      <c r="R1445" s="61"/>
      <c r="S1445" s="61"/>
      <c r="T1445" s="61"/>
      <c r="U1445" s="61"/>
      <c r="V1445" s="61"/>
      <c r="W1445" s="61"/>
      <c r="X1445" s="61"/>
      <c r="Y1445" s="61"/>
      <c r="Z1445" s="61"/>
      <c r="AA1445" s="61"/>
      <c r="AB1445" s="61"/>
      <c r="AC1445" s="61"/>
    </row>
    <row r="1446" ht="15.75" customHeight="1">
      <c r="A1446" s="61"/>
      <c r="B1446" s="61"/>
      <c r="C1446" s="61"/>
      <c r="D1446" s="61"/>
      <c r="E1446" s="61"/>
      <c r="F1446" s="61"/>
      <c r="G1446" s="61"/>
      <c r="H1446" s="61"/>
      <c r="I1446" s="61"/>
      <c r="J1446" s="61"/>
      <c r="K1446" s="61"/>
      <c r="L1446" s="61"/>
      <c r="M1446" s="61"/>
      <c r="N1446" s="61"/>
      <c r="O1446" s="61"/>
      <c r="P1446" s="61"/>
      <c r="Q1446" s="61"/>
      <c r="R1446" s="61"/>
      <c r="S1446" s="61"/>
      <c r="T1446" s="61"/>
      <c r="U1446" s="61"/>
      <c r="V1446" s="61"/>
      <c r="W1446" s="61"/>
      <c r="X1446" s="61"/>
      <c r="Y1446" s="61"/>
      <c r="Z1446" s="61"/>
      <c r="AA1446" s="61"/>
      <c r="AB1446" s="61"/>
      <c r="AC1446" s="61"/>
    </row>
    <row r="1447" ht="15.75" customHeight="1">
      <c r="A1447" s="61"/>
      <c r="B1447" s="61"/>
      <c r="C1447" s="61"/>
      <c r="D1447" s="61"/>
      <c r="E1447" s="61"/>
      <c r="F1447" s="61"/>
      <c r="G1447" s="61"/>
      <c r="H1447" s="61"/>
      <c r="I1447" s="61"/>
      <c r="J1447" s="61"/>
      <c r="K1447" s="61"/>
      <c r="L1447" s="61"/>
      <c r="M1447" s="61"/>
      <c r="N1447" s="61"/>
      <c r="O1447" s="61"/>
      <c r="P1447" s="61"/>
      <c r="Q1447" s="61"/>
      <c r="R1447" s="61"/>
      <c r="S1447" s="61"/>
      <c r="T1447" s="61"/>
      <c r="U1447" s="61"/>
      <c r="V1447" s="61"/>
      <c r="W1447" s="61"/>
      <c r="X1447" s="61"/>
      <c r="Y1447" s="61"/>
      <c r="Z1447" s="61"/>
      <c r="AA1447" s="61"/>
      <c r="AB1447" s="61"/>
      <c r="AC1447" s="61"/>
    </row>
    <row r="1448" ht="15.75" customHeight="1">
      <c r="A1448" s="61"/>
      <c r="B1448" s="61"/>
      <c r="C1448" s="61"/>
      <c r="D1448" s="61"/>
      <c r="E1448" s="61"/>
      <c r="F1448" s="61"/>
      <c r="G1448" s="61"/>
      <c r="H1448" s="61"/>
      <c r="I1448" s="61"/>
      <c r="J1448" s="61"/>
      <c r="K1448" s="61"/>
      <c r="L1448" s="61"/>
      <c r="M1448" s="61"/>
      <c r="N1448" s="61"/>
      <c r="O1448" s="61"/>
      <c r="P1448" s="61"/>
      <c r="Q1448" s="61"/>
      <c r="R1448" s="61"/>
      <c r="S1448" s="61"/>
      <c r="T1448" s="61"/>
      <c r="U1448" s="61"/>
      <c r="V1448" s="61"/>
      <c r="W1448" s="61"/>
      <c r="X1448" s="61"/>
      <c r="Y1448" s="61"/>
      <c r="Z1448" s="61"/>
      <c r="AA1448" s="61"/>
      <c r="AB1448" s="61"/>
      <c r="AC1448" s="61"/>
    </row>
    <row r="1449" ht="15.75" customHeight="1">
      <c r="A1449" s="61"/>
      <c r="B1449" s="61"/>
      <c r="C1449" s="61"/>
      <c r="D1449" s="61"/>
      <c r="E1449" s="61"/>
      <c r="F1449" s="61"/>
      <c r="G1449" s="61"/>
      <c r="H1449" s="61"/>
      <c r="I1449" s="61"/>
      <c r="J1449" s="61"/>
      <c r="K1449" s="61"/>
      <c r="L1449" s="61"/>
      <c r="M1449" s="61"/>
      <c r="N1449" s="61"/>
      <c r="O1449" s="61"/>
      <c r="P1449" s="61"/>
      <c r="Q1449" s="61"/>
      <c r="R1449" s="61"/>
      <c r="S1449" s="61"/>
      <c r="T1449" s="61"/>
      <c r="U1449" s="61"/>
      <c r="V1449" s="61"/>
      <c r="W1449" s="61"/>
      <c r="X1449" s="61"/>
      <c r="Y1449" s="61"/>
      <c r="Z1449" s="61"/>
      <c r="AA1449" s="61"/>
      <c r="AB1449" s="61"/>
      <c r="AC1449" s="61"/>
    </row>
    <row r="1450" ht="15.75" customHeight="1">
      <c r="A1450" s="61"/>
      <c r="B1450" s="61"/>
      <c r="C1450" s="61"/>
      <c r="D1450" s="61"/>
      <c r="E1450" s="61"/>
      <c r="F1450" s="61"/>
      <c r="G1450" s="61"/>
      <c r="H1450" s="61"/>
      <c r="I1450" s="61"/>
      <c r="J1450" s="61"/>
      <c r="K1450" s="61"/>
      <c r="L1450" s="61"/>
      <c r="M1450" s="61"/>
      <c r="N1450" s="61"/>
      <c r="O1450" s="61"/>
      <c r="P1450" s="61"/>
      <c r="Q1450" s="61"/>
      <c r="R1450" s="61"/>
      <c r="S1450" s="61"/>
      <c r="T1450" s="61"/>
      <c r="U1450" s="61"/>
      <c r="V1450" s="61"/>
      <c r="W1450" s="61"/>
      <c r="X1450" s="61"/>
      <c r="Y1450" s="61"/>
      <c r="Z1450" s="61"/>
      <c r="AA1450" s="61"/>
      <c r="AB1450" s="61"/>
      <c r="AC1450" s="61"/>
    </row>
    <row r="1451" ht="15.75" customHeight="1">
      <c r="A1451" s="61"/>
      <c r="B1451" s="61"/>
      <c r="C1451" s="61"/>
      <c r="D1451" s="61"/>
      <c r="E1451" s="61"/>
      <c r="F1451" s="61"/>
      <c r="G1451" s="61"/>
      <c r="H1451" s="61"/>
      <c r="I1451" s="61"/>
      <c r="J1451" s="61"/>
      <c r="K1451" s="61"/>
      <c r="L1451" s="61"/>
      <c r="M1451" s="61"/>
      <c r="N1451" s="61"/>
      <c r="O1451" s="61"/>
      <c r="P1451" s="61"/>
      <c r="Q1451" s="61"/>
      <c r="R1451" s="61"/>
      <c r="S1451" s="61"/>
      <c r="T1451" s="61"/>
      <c r="U1451" s="61"/>
      <c r="V1451" s="61"/>
      <c r="W1451" s="61"/>
      <c r="X1451" s="61"/>
      <c r="Y1451" s="61"/>
      <c r="Z1451" s="61"/>
      <c r="AA1451" s="61"/>
      <c r="AB1451" s="61"/>
      <c r="AC1451" s="61"/>
    </row>
    <row r="1452" ht="15.75" customHeight="1">
      <c r="A1452" s="61"/>
      <c r="B1452" s="61"/>
      <c r="C1452" s="61"/>
      <c r="D1452" s="61"/>
      <c r="E1452" s="61"/>
      <c r="F1452" s="61"/>
      <c r="G1452" s="61"/>
      <c r="H1452" s="61"/>
      <c r="I1452" s="61"/>
      <c r="J1452" s="61"/>
      <c r="K1452" s="61"/>
      <c r="L1452" s="61"/>
      <c r="M1452" s="61"/>
      <c r="N1452" s="61"/>
      <c r="O1452" s="61"/>
      <c r="P1452" s="61"/>
      <c r="Q1452" s="61"/>
      <c r="R1452" s="61"/>
      <c r="S1452" s="61"/>
      <c r="T1452" s="61"/>
      <c r="U1452" s="61"/>
      <c r="V1452" s="61"/>
      <c r="W1452" s="61"/>
      <c r="X1452" s="61"/>
      <c r="Y1452" s="61"/>
      <c r="Z1452" s="61"/>
      <c r="AA1452" s="61"/>
      <c r="AB1452" s="61"/>
      <c r="AC1452" s="61"/>
    </row>
    <row r="1453" ht="15.75" customHeight="1">
      <c r="A1453" s="61"/>
      <c r="B1453" s="61"/>
      <c r="C1453" s="61"/>
      <c r="D1453" s="61"/>
      <c r="E1453" s="61"/>
      <c r="F1453" s="61"/>
      <c r="G1453" s="61"/>
      <c r="H1453" s="61"/>
      <c r="I1453" s="61"/>
      <c r="J1453" s="61"/>
      <c r="K1453" s="61"/>
      <c r="L1453" s="61"/>
      <c r="M1453" s="61"/>
      <c r="N1453" s="61"/>
      <c r="O1453" s="61"/>
      <c r="P1453" s="61"/>
      <c r="Q1453" s="61"/>
      <c r="R1453" s="61"/>
      <c r="S1453" s="61"/>
      <c r="T1453" s="61"/>
      <c r="U1453" s="61"/>
      <c r="V1453" s="61"/>
      <c r="W1453" s="61"/>
      <c r="X1453" s="61"/>
      <c r="Y1453" s="61"/>
      <c r="Z1453" s="61"/>
      <c r="AA1453" s="61"/>
      <c r="AB1453" s="61"/>
      <c r="AC1453" s="61"/>
    </row>
    <row r="1454" ht="15.75" customHeight="1">
      <c r="A1454" s="61"/>
      <c r="B1454" s="61"/>
      <c r="C1454" s="61"/>
      <c r="D1454" s="61"/>
      <c r="E1454" s="61"/>
      <c r="F1454" s="61"/>
      <c r="G1454" s="61"/>
      <c r="H1454" s="61"/>
      <c r="I1454" s="61"/>
      <c r="J1454" s="61"/>
      <c r="K1454" s="61"/>
      <c r="L1454" s="61"/>
      <c r="M1454" s="61"/>
      <c r="N1454" s="61"/>
      <c r="O1454" s="61"/>
      <c r="P1454" s="61"/>
      <c r="Q1454" s="61"/>
      <c r="R1454" s="61"/>
      <c r="S1454" s="61"/>
      <c r="T1454" s="61"/>
      <c r="U1454" s="61"/>
      <c r="V1454" s="61"/>
      <c r="W1454" s="61"/>
      <c r="X1454" s="61"/>
      <c r="Y1454" s="61"/>
      <c r="Z1454" s="61"/>
      <c r="AA1454" s="61"/>
      <c r="AB1454" s="61"/>
      <c r="AC1454" s="61"/>
    </row>
    <row r="1455" ht="15.75" customHeight="1">
      <c r="A1455" s="61"/>
      <c r="B1455" s="61"/>
      <c r="C1455" s="61"/>
      <c r="D1455" s="61"/>
      <c r="E1455" s="61"/>
      <c r="F1455" s="61"/>
      <c r="G1455" s="61"/>
      <c r="H1455" s="61"/>
      <c r="I1455" s="61"/>
      <c r="J1455" s="61"/>
      <c r="K1455" s="61"/>
      <c r="L1455" s="61"/>
      <c r="M1455" s="61"/>
      <c r="N1455" s="61"/>
      <c r="O1455" s="61"/>
      <c r="P1455" s="61"/>
      <c r="Q1455" s="61"/>
      <c r="R1455" s="61"/>
      <c r="S1455" s="61"/>
      <c r="T1455" s="61"/>
      <c r="U1455" s="61"/>
      <c r="V1455" s="61"/>
      <c r="W1455" s="61"/>
      <c r="X1455" s="61"/>
      <c r="Y1455" s="61"/>
      <c r="Z1455" s="61"/>
      <c r="AA1455" s="61"/>
      <c r="AB1455" s="61"/>
      <c r="AC1455" s="61"/>
    </row>
    <row r="1456" ht="15.75" customHeight="1">
      <c r="A1456" s="61"/>
      <c r="B1456" s="61"/>
      <c r="C1456" s="61"/>
      <c r="D1456" s="61"/>
      <c r="E1456" s="61"/>
      <c r="F1456" s="61"/>
      <c r="G1456" s="61"/>
      <c r="H1456" s="61"/>
      <c r="I1456" s="61"/>
      <c r="J1456" s="61"/>
      <c r="K1456" s="61"/>
      <c r="L1456" s="61"/>
      <c r="M1456" s="61"/>
      <c r="N1456" s="61"/>
      <c r="O1456" s="61"/>
      <c r="P1456" s="61"/>
      <c r="Q1456" s="61"/>
      <c r="R1456" s="61"/>
      <c r="S1456" s="61"/>
      <c r="T1456" s="61"/>
      <c r="U1456" s="61"/>
      <c r="V1456" s="61"/>
      <c r="W1456" s="61"/>
      <c r="X1456" s="61"/>
      <c r="Y1456" s="61"/>
      <c r="Z1456" s="61"/>
      <c r="AA1456" s="61"/>
      <c r="AB1456" s="61"/>
      <c r="AC1456" s="61"/>
    </row>
    <row r="1457" ht="15.75" customHeight="1">
      <c r="A1457" s="61"/>
      <c r="B1457" s="61"/>
      <c r="C1457" s="61"/>
      <c r="D1457" s="61"/>
      <c r="E1457" s="61"/>
      <c r="F1457" s="61"/>
      <c r="G1457" s="61"/>
      <c r="H1457" s="61"/>
      <c r="I1457" s="61"/>
      <c r="J1457" s="61"/>
      <c r="K1457" s="61"/>
      <c r="L1457" s="61"/>
      <c r="M1457" s="61"/>
      <c r="N1457" s="61"/>
      <c r="O1457" s="61"/>
      <c r="P1457" s="61"/>
      <c r="Q1457" s="61"/>
      <c r="R1457" s="61"/>
      <c r="S1457" s="61"/>
      <c r="T1457" s="61"/>
      <c r="U1457" s="61"/>
      <c r="V1457" s="61"/>
      <c r="W1457" s="61"/>
      <c r="X1457" s="61"/>
      <c r="Y1457" s="61"/>
      <c r="Z1457" s="61"/>
      <c r="AA1457" s="61"/>
      <c r="AB1457" s="61"/>
      <c r="AC1457" s="61"/>
    </row>
    <row r="1458" ht="15.75" customHeight="1">
      <c r="A1458" s="61"/>
      <c r="B1458" s="61"/>
      <c r="C1458" s="61"/>
      <c r="D1458" s="61"/>
      <c r="E1458" s="61"/>
      <c r="F1458" s="61"/>
      <c r="G1458" s="61"/>
      <c r="H1458" s="61"/>
      <c r="I1458" s="61"/>
      <c r="J1458" s="61"/>
      <c r="K1458" s="61"/>
      <c r="L1458" s="61"/>
      <c r="M1458" s="61"/>
      <c r="N1458" s="61"/>
      <c r="O1458" s="61"/>
      <c r="P1458" s="61"/>
      <c r="Q1458" s="61"/>
      <c r="R1458" s="61"/>
      <c r="S1458" s="61"/>
      <c r="T1458" s="61"/>
      <c r="U1458" s="61"/>
      <c r="V1458" s="61"/>
      <c r="W1458" s="61"/>
      <c r="X1458" s="61"/>
      <c r="Y1458" s="61"/>
      <c r="Z1458" s="61"/>
      <c r="AA1458" s="61"/>
      <c r="AB1458" s="61"/>
      <c r="AC1458" s="61"/>
    </row>
    <row r="1459" ht="15.75" customHeight="1">
      <c r="A1459" s="61"/>
      <c r="B1459" s="61"/>
      <c r="C1459" s="61"/>
      <c r="D1459" s="61"/>
      <c r="E1459" s="61"/>
      <c r="F1459" s="61"/>
      <c r="G1459" s="61"/>
      <c r="H1459" s="61"/>
      <c r="I1459" s="61"/>
      <c r="J1459" s="61"/>
      <c r="K1459" s="61"/>
      <c r="L1459" s="61"/>
      <c r="M1459" s="61"/>
      <c r="N1459" s="61"/>
      <c r="O1459" s="61"/>
      <c r="P1459" s="61"/>
      <c r="Q1459" s="61"/>
      <c r="R1459" s="61"/>
      <c r="S1459" s="61"/>
      <c r="T1459" s="61"/>
      <c r="U1459" s="61"/>
      <c r="V1459" s="61"/>
      <c r="W1459" s="61"/>
      <c r="X1459" s="61"/>
      <c r="Y1459" s="61"/>
      <c r="Z1459" s="61"/>
      <c r="AA1459" s="61"/>
      <c r="AB1459" s="61"/>
      <c r="AC1459" s="61"/>
    </row>
    <row r="1460" ht="15.75" customHeight="1">
      <c r="A1460" s="61"/>
      <c r="B1460" s="61"/>
      <c r="C1460" s="61"/>
      <c r="D1460" s="61"/>
      <c r="E1460" s="61"/>
      <c r="F1460" s="61"/>
      <c r="G1460" s="61"/>
      <c r="H1460" s="61"/>
      <c r="I1460" s="61"/>
      <c r="J1460" s="61"/>
      <c r="K1460" s="61"/>
      <c r="L1460" s="61"/>
      <c r="M1460" s="61"/>
      <c r="N1460" s="61"/>
      <c r="O1460" s="61"/>
      <c r="P1460" s="61"/>
      <c r="Q1460" s="61"/>
      <c r="R1460" s="61"/>
      <c r="S1460" s="61"/>
      <c r="T1460" s="61"/>
      <c r="U1460" s="61"/>
      <c r="V1460" s="61"/>
      <c r="W1460" s="61"/>
      <c r="X1460" s="61"/>
      <c r="Y1460" s="61"/>
      <c r="Z1460" s="61"/>
      <c r="AA1460" s="61"/>
      <c r="AB1460" s="61"/>
      <c r="AC1460" s="61"/>
    </row>
    <row r="1461" ht="15.75" customHeight="1">
      <c r="A1461" s="61"/>
      <c r="B1461" s="61"/>
      <c r="C1461" s="61"/>
      <c r="D1461" s="61"/>
      <c r="E1461" s="61"/>
      <c r="F1461" s="61"/>
      <c r="G1461" s="61"/>
      <c r="H1461" s="61"/>
      <c r="I1461" s="61"/>
      <c r="J1461" s="61"/>
      <c r="K1461" s="61"/>
      <c r="L1461" s="61"/>
      <c r="M1461" s="61"/>
      <c r="N1461" s="61"/>
      <c r="O1461" s="61"/>
      <c r="P1461" s="61"/>
      <c r="Q1461" s="61"/>
      <c r="R1461" s="61"/>
      <c r="S1461" s="61"/>
      <c r="T1461" s="61"/>
      <c r="U1461" s="61"/>
      <c r="V1461" s="61"/>
      <c r="W1461" s="61"/>
      <c r="X1461" s="61"/>
      <c r="Y1461" s="61"/>
      <c r="Z1461" s="61"/>
      <c r="AA1461" s="61"/>
      <c r="AB1461" s="61"/>
      <c r="AC1461" s="61"/>
    </row>
    <row r="1462" ht="15.75" customHeight="1">
      <c r="A1462" s="61"/>
      <c r="B1462" s="61"/>
      <c r="C1462" s="61"/>
      <c r="D1462" s="61"/>
      <c r="E1462" s="61"/>
      <c r="F1462" s="61"/>
      <c r="G1462" s="61"/>
      <c r="H1462" s="61"/>
      <c r="I1462" s="61"/>
      <c r="J1462" s="61"/>
      <c r="K1462" s="61"/>
      <c r="L1462" s="61"/>
      <c r="M1462" s="61"/>
      <c r="N1462" s="61"/>
      <c r="O1462" s="61"/>
      <c r="P1462" s="61"/>
      <c r="Q1462" s="61"/>
      <c r="R1462" s="61"/>
      <c r="S1462" s="61"/>
      <c r="T1462" s="61"/>
      <c r="U1462" s="61"/>
      <c r="V1462" s="61"/>
      <c r="W1462" s="61"/>
      <c r="X1462" s="61"/>
      <c r="Y1462" s="61"/>
      <c r="Z1462" s="61"/>
      <c r="AA1462" s="61"/>
      <c r="AB1462" s="61"/>
      <c r="AC1462" s="61"/>
    </row>
    <row r="1463" ht="15.75" customHeight="1">
      <c r="A1463" s="61"/>
      <c r="B1463" s="61"/>
      <c r="C1463" s="61"/>
      <c r="D1463" s="61"/>
      <c r="E1463" s="61"/>
      <c r="F1463" s="61"/>
      <c r="G1463" s="61"/>
      <c r="H1463" s="61"/>
      <c r="I1463" s="61"/>
      <c r="J1463" s="61"/>
      <c r="K1463" s="61"/>
      <c r="L1463" s="61"/>
      <c r="M1463" s="61"/>
      <c r="N1463" s="61"/>
      <c r="O1463" s="61"/>
      <c r="P1463" s="61"/>
      <c r="Q1463" s="61"/>
      <c r="R1463" s="61"/>
      <c r="S1463" s="61"/>
      <c r="T1463" s="61"/>
      <c r="U1463" s="61"/>
      <c r="V1463" s="61"/>
      <c r="W1463" s="61"/>
      <c r="X1463" s="61"/>
      <c r="Y1463" s="61"/>
      <c r="Z1463" s="61"/>
      <c r="AA1463" s="61"/>
      <c r="AB1463" s="61"/>
      <c r="AC1463" s="61"/>
    </row>
    <row r="1464" ht="15.75" customHeight="1">
      <c r="A1464" s="61"/>
      <c r="B1464" s="61"/>
      <c r="C1464" s="61"/>
      <c r="D1464" s="61"/>
      <c r="E1464" s="61"/>
      <c r="F1464" s="61"/>
      <c r="G1464" s="61"/>
      <c r="H1464" s="61"/>
      <c r="I1464" s="61"/>
      <c r="J1464" s="61"/>
      <c r="K1464" s="61"/>
      <c r="L1464" s="61"/>
      <c r="M1464" s="61"/>
      <c r="N1464" s="61"/>
      <c r="O1464" s="61"/>
      <c r="P1464" s="61"/>
      <c r="Q1464" s="61"/>
      <c r="R1464" s="61"/>
      <c r="S1464" s="61"/>
      <c r="T1464" s="61"/>
      <c r="U1464" s="61"/>
      <c r="V1464" s="61"/>
      <c r="W1464" s="61"/>
      <c r="X1464" s="61"/>
      <c r="Y1464" s="61"/>
      <c r="Z1464" s="61"/>
      <c r="AA1464" s="61"/>
      <c r="AB1464" s="61"/>
      <c r="AC1464" s="61"/>
    </row>
    <row r="1465" ht="15.75" customHeight="1">
      <c r="A1465" s="61"/>
      <c r="B1465" s="61"/>
      <c r="C1465" s="61"/>
      <c r="D1465" s="61"/>
      <c r="E1465" s="61"/>
      <c r="F1465" s="61"/>
      <c r="G1465" s="61"/>
      <c r="H1465" s="61"/>
      <c r="I1465" s="61"/>
      <c r="J1465" s="61"/>
      <c r="K1465" s="61"/>
      <c r="L1465" s="61"/>
      <c r="M1465" s="61"/>
      <c r="N1465" s="61"/>
      <c r="O1465" s="61"/>
      <c r="P1465" s="61"/>
      <c r="Q1465" s="61"/>
      <c r="R1465" s="61"/>
      <c r="S1465" s="61"/>
      <c r="T1465" s="61"/>
      <c r="U1465" s="61"/>
      <c r="V1465" s="61"/>
      <c r="W1465" s="61"/>
      <c r="X1465" s="61"/>
      <c r="Y1465" s="61"/>
      <c r="Z1465" s="61"/>
      <c r="AA1465" s="61"/>
      <c r="AB1465" s="61"/>
      <c r="AC1465" s="61"/>
    </row>
    <row r="1466" ht="15.75" customHeight="1">
      <c r="A1466" s="61"/>
      <c r="B1466" s="61"/>
      <c r="C1466" s="61"/>
      <c r="D1466" s="61"/>
      <c r="E1466" s="61"/>
      <c r="F1466" s="61"/>
      <c r="G1466" s="61"/>
      <c r="H1466" s="61"/>
      <c r="I1466" s="61"/>
      <c r="J1466" s="61"/>
      <c r="K1466" s="61"/>
      <c r="L1466" s="61"/>
      <c r="M1466" s="61"/>
      <c r="N1466" s="61"/>
      <c r="O1466" s="61"/>
      <c r="P1466" s="61"/>
      <c r="Q1466" s="61"/>
      <c r="R1466" s="61"/>
      <c r="S1466" s="61"/>
      <c r="T1466" s="61"/>
      <c r="U1466" s="61"/>
      <c r="V1466" s="61"/>
      <c r="W1466" s="61"/>
      <c r="X1466" s="61"/>
      <c r="Y1466" s="61"/>
      <c r="Z1466" s="61"/>
      <c r="AA1466" s="61"/>
      <c r="AB1466" s="61"/>
      <c r="AC1466" s="61"/>
    </row>
    <row r="1467" ht="15.75" customHeight="1">
      <c r="A1467" s="61"/>
      <c r="B1467" s="61"/>
      <c r="C1467" s="61"/>
      <c r="D1467" s="61"/>
      <c r="E1467" s="61"/>
      <c r="F1467" s="61"/>
      <c r="G1467" s="61"/>
      <c r="H1467" s="61"/>
      <c r="I1467" s="61"/>
      <c r="J1467" s="61"/>
      <c r="K1467" s="61"/>
      <c r="L1467" s="61"/>
      <c r="M1467" s="61"/>
      <c r="N1467" s="61"/>
      <c r="O1467" s="61"/>
      <c r="P1467" s="61"/>
      <c r="Q1467" s="61"/>
      <c r="R1467" s="61"/>
      <c r="S1467" s="61"/>
      <c r="T1467" s="61"/>
      <c r="U1467" s="61"/>
      <c r="V1467" s="61"/>
      <c r="W1467" s="61"/>
      <c r="X1467" s="61"/>
      <c r="Y1467" s="61"/>
      <c r="Z1467" s="61"/>
      <c r="AA1467" s="61"/>
      <c r="AB1467" s="61"/>
      <c r="AC1467" s="61"/>
    </row>
    <row r="1468" ht="15.75" customHeight="1">
      <c r="A1468" s="61"/>
      <c r="B1468" s="61"/>
      <c r="C1468" s="61"/>
      <c r="D1468" s="61"/>
      <c r="E1468" s="61"/>
      <c r="F1468" s="61"/>
      <c r="G1468" s="61"/>
      <c r="H1468" s="61"/>
      <c r="I1468" s="61"/>
      <c r="J1468" s="61"/>
      <c r="K1468" s="61"/>
      <c r="L1468" s="61"/>
      <c r="M1468" s="61"/>
      <c r="N1468" s="61"/>
      <c r="O1468" s="61"/>
      <c r="P1468" s="61"/>
      <c r="Q1468" s="61"/>
      <c r="R1468" s="61"/>
      <c r="S1468" s="61"/>
      <c r="T1468" s="61"/>
      <c r="U1468" s="61"/>
      <c r="V1468" s="61"/>
      <c r="W1468" s="61"/>
      <c r="X1468" s="61"/>
      <c r="Y1468" s="61"/>
      <c r="Z1468" s="61"/>
      <c r="AA1468" s="61"/>
      <c r="AB1468" s="61"/>
      <c r="AC1468" s="61"/>
    </row>
    <row r="1469" ht="15.75" customHeight="1">
      <c r="A1469" s="61"/>
      <c r="B1469" s="61"/>
      <c r="C1469" s="61"/>
      <c r="D1469" s="61"/>
      <c r="E1469" s="61"/>
      <c r="F1469" s="61"/>
      <c r="G1469" s="61"/>
      <c r="H1469" s="61"/>
      <c r="I1469" s="61"/>
      <c r="J1469" s="61"/>
      <c r="K1469" s="61"/>
      <c r="L1469" s="61"/>
      <c r="M1469" s="61"/>
      <c r="N1469" s="61"/>
      <c r="O1469" s="61"/>
      <c r="P1469" s="61"/>
      <c r="Q1469" s="61"/>
      <c r="R1469" s="61"/>
      <c r="S1469" s="61"/>
      <c r="T1469" s="61"/>
      <c r="U1469" s="61"/>
      <c r="V1469" s="61"/>
      <c r="W1469" s="61"/>
      <c r="X1469" s="61"/>
      <c r="Y1469" s="61"/>
      <c r="Z1469" s="61"/>
      <c r="AA1469" s="61"/>
      <c r="AB1469" s="61"/>
      <c r="AC1469" s="61"/>
    </row>
    <row r="1470" ht="15.75" customHeight="1">
      <c r="A1470" s="61"/>
      <c r="B1470" s="61"/>
      <c r="C1470" s="61"/>
      <c r="D1470" s="61"/>
      <c r="E1470" s="61"/>
      <c r="F1470" s="61"/>
      <c r="G1470" s="61"/>
      <c r="H1470" s="61"/>
      <c r="I1470" s="61"/>
      <c r="J1470" s="61"/>
      <c r="K1470" s="61"/>
      <c r="L1470" s="61"/>
      <c r="M1470" s="61"/>
      <c r="N1470" s="61"/>
      <c r="O1470" s="61"/>
      <c r="P1470" s="61"/>
      <c r="Q1470" s="61"/>
      <c r="R1470" s="61"/>
      <c r="S1470" s="61"/>
      <c r="T1470" s="61"/>
      <c r="U1470" s="61"/>
      <c r="V1470" s="61"/>
      <c r="W1470" s="61"/>
      <c r="X1470" s="61"/>
      <c r="Y1470" s="61"/>
      <c r="Z1470" s="61"/>
      <c r="AA1470" s="61"/>
      <c r="AB1470" s="61"/>
      <c r="AC1470" s="61"/>
    </row>
    <row r="1471" ht="15.75" customHeight="1">
      <c r="A1471" s="61"/>
      <c r="B1471" s="61"/>
      <c r="C1471" s="61"/>
      <c r="D1471" s="61"/>
      <c r="E1471" s="61"/>
      <c r="F1471" s="61"/>
      <c r="G1471" s="61"/>
      <c r="H1471" s="61"/>
      <c r="I1471" s="61"/>
      <c r="J1471" s="61"/>
      <c r="K1471" s="61"/>
      <c r="L1471" s="61"/>
      <c r="M1471" s="61"/>
      <c r="N1471" s="61"/>
      <c r="O1471" s="61"/>
      <c r="P1471" s="61"/>
      <c r="Q1471" s="61"/>
      <c r="R1471" s="61"/>
      <c r="S1471" s="61"/>
      <c r="T1471" s="61"/>
      <c r="U1471" s="61"/>
      <c r="V1471" s="61"/>
      <c r="W1471" s="61"/>
      <c r="X1471" s="61"/>
      <c r="Y1471" s="61"/>
      <c r="Z1471" s="61"/>
      <c r="AA1471" s="61"/>
      <c r="AB1471" s="61"/>
      <c r="AC1471" s="61"/>
    </row>
    <row r="1472" ht="15.75" customHeight="1">
      <c r="A1472" s="61"/>
      <c r="B1472" s="61"/>
      <c r="C1472" s="61"/>
      <c r="D1472" s="61"/>
      <c r="E1472" s="61"/>
      <c r="F1472" s="61"/>
      <c r="G1472" s="61"/>
      <c r="H1472" s="61"/>
      <c r="I1472" s="61"/>
      <c r="J1472" s="61"/>
      <c r="K1472" s="61"/>
      <c r="L1472" s="61"/>
      <c r="M1472" s="61"/>
      <c r="N1472" s="61"/>
      <c r="O1472" s="61"/>
      <c r="P1472" s="61"/>
      <c r="Q1472" s="61"/>
      <c r="R1472" s="61"/>
      <c r="S1472" s="61"/>
      <c r="T1472" s="61"/>
      <c r="U1472" s="61"/>
      <c r="V1472" s="61"/>
      <c r="W1472" s="61"/>
      <c r="X1472" s="61"/>
      <c r="Y1472" s="61"/>
      <c r="Z1472" s="61"/>
      <c r="AA1472" s="61"/>
      <c r="AB1472" s="61"/>
      <c r="AC1472" s="61"/>
    </row>
    <row r="1473" ht="15.75" customHeight="1">
      <c r="A1473" s="61"/>
      <c r="B1473" s="61"/>
      <c r="C1473" s="61"/>
      <c r="D1473" s="61"/>
      <c r="E1473" s="61"/>
      <c r="F1473" s="61"/>
      <c r="G1473" s="61"/>
      <c r="H1473" s="61"/>
      <c r="I1473" s="61"/>
      <c r="J1473" s="61"/>
      <c r="K1473" s="61"/>
      <c r="L1473" s="61"/>
      <c r="M1473" s="61"/>
      <c r="N1473" s="61"/>
      <c r="O1473" s="61"/>
      <c r="P1473" s="61"/>
      <c r="Q1473" s="61"/>
      <c r="R1473" s="61"/>
      <c r="S1473" s="61"/>
      <c r="T1473" s="61"/>
      <c r="U1473" s="61"/>
      <c r="V1473" s="61"/>
      <c r="W1473" s="61"/>
      <c r="X1473" s="61"/>
      <c r="Y1473" s="61"/>
      <c r="Z1473" s="61"/>
      <c r="AA1473" s="61"/>
      <c r="AB1473" s="61"/>
      <c r="AC1473" s="61"/>
    </row>
    <row r="1474" ht="15.75" customHeight="1">
      <c r="A1474" s="61"/>
      <c r="B1474" s="61"/>
      <c r="C1474" s="61"/>
      <c r="D1474" s="61"/>
      <c r="E1474" s="61"/>
      <c r="F1474" s="61"/>
      <c r="G1474" s="61"/>
      <c r="H1474" s="61"/>
      <c r="I1474" s="61"/>
      <c r="J1474" s="61"/>
      <c r="K1474" s="61"/>
      <c r="L1474" s="61"/>
      <c r="M1474" s="61"/>
      <c r="N1474" s="61"/>
      <c r="O1474" s="61"/>
      <c r="P1474" s="61"/>
      <c r="Q1474" s="61"/>
      <c r="R1474" s="61"/>
      <c r="S1474" s="61"/>
      <c r="T1474" s="61"/>
      <c r="U1474" s="61"/>
      <c r="V1474" s="61"/>
      <c r="W1474" s="61"/>
      <c r="X1474" s="61"/>
      <c r="Y1474" s="61"/>
      <c r="Z1474" s="61"/>
      <c r="AA1474" s="61"/>
      <c r="AB1474" s="61"/>
      <c r="AC1474" s="61"/>
    </row>
    <row r="1475" ht="15.75" customHeight="1">
      <c r="A1475" s="61"/>
      <c r="B1475" s="61"/>
      <c r="C1475" s="61"/>
      <c r="D1475" s="61"/>
      <c r="E1475" s="61"/>
      <c r="F1475" s="61"/>
      <c r="G1475" s="61"/>
      <c r="H1475" s="61"/>
      <c r="I1475" s="61"/>
      <c r="J1475" s="61"/>
      <c r="K1475" s="61"/>
      <c r="L1475" s="61"/>
      <c r="M1475" s="61"/>
      <c r="N1475" s="61"/>
      <c r="O1475" s="61"/>
      <c r="P1475" s="61"/>
      <c r="Q1475" s="61"/>
      <c r="R1475" s="61"/>
      <c r="S1475" s="61"/>
      <c r="T1475" s="61"/>
      <c r="U1475" s="61"/>
      <c r="V1475" s="61"/>
      <c r="W1475" s="61"/>
      <c r="X1475" s="61"/>
      <c r="Y1475" s="61"/>
      <c r="Z1475" s="61"/>
      <c r="AA1475" s="61"/>
      <c r="AB1475" s="61"/>
      <c r="AC1475" s="61"/>
    </row>
    <row r="1476" ht="15.75" customHeight="1">
      <c r="A1476" s="61"/>
      <c r="B1476" s="61"/>
      <c r="C1476" s="61"/>
      <c r="D1476" s="61"/>
      <c r="E1476" s="61"/>
      <c r="F1476" s="61"/>
      <c r="G1476" s="61"/>
      <c r="H1476" s="61"/>
      <c r="I1476" s="61"/>
      <c r="J1476" s="61"/>
      <c r="K1476" s="61"/>
      <c r="L1476" s="61"/>
      <c r="M1476" s="61"/>
      <c r="N1476" s="61"/>
      <c r="O1476" s="61"/>
      <c r="P1476" s="61"/>
      <c r="Q1476" s="61"/>
      <c r="R1476" s="61"/>
      <c r="S1476" s="61"/>
      <c r="T1476" s="61"/>
      <c r="U1476" s="61"/>
      <c r="V1476" s="61"/>
      <c r="W1476" s="61"/>
      <c r="X1476" s="61"/>
      <c r="Y1476" s="61"/>
      <c r="Z1476" s="61"/>
      <c r="AA1476" s="61"/>
      <c r="AB1476" s="61"/>
      <c r="AC1476" s="61"/>
    </row>
    <row r="1477" ht="15.75" customHeight="1">
      <c r="A1477" s="61"/>
      <c r="B1477" s="61"/>
      <c r="C1477" s="61"/>
      <c r="D1477" s="61"/>
      <c r="E1477" s="61"/>
      <c r="F1477" s="61"/>
      <c r="G1477" s="61"/>
      <c r="H1477" s="61"/>
      <c r="I1477" s="61"/>
      <c r="J1477" s="61"/>
      <c r="K1477" s="61"/>
      <c r="L1477" s="61"/>
      <c r="M1477" s="61"/>
      <c r="N1477" s="61"/>
      <c r="O1477" s="61"/>
      <c r="P1477" s="61"/>
      <c r="Q1477" s="61"/>
      <c r="R1477" s="61"/>
      <c r="S1477" s="61"/>
      <c r="T1477" s="61"/>
      <c r="U1477" s="61"/>
      <c r="V1477" s="61"/>
      <c r="W1477" s="61"/>
      <c r="X1477" s="61"/>
      <c r="Y1477" s="61"/>
      <c r="Z1477" s="61"/>
      <c r="AA1477" s="61"/>
      <c r="AB1477" s="61"/>
      <c r="AC1477" s="61"/>
    </row>
    <row r="1478" ht="15.75" customHeight="1">
      <c r="A1478" s="61"/>
      <c r="B1478" s="61"/>
      <c r="C1478" s="61"/>
      <c r="D1478" s="61"/>
      <c r="E1478" s="61"/>
      <c r="F1478" s="61"/>
      <c r="G1478" s="61"/>
      <c r="H1478" s="61"/>
      <c r="I1478" s="61"/>
      <c r="J1478" s="61"/>
      <c r="K1478" s="61"/>
      <c r="L1478" s="61"/>
      <c r="M1478" s="61"/>
      <c r="N1478" s="61"/>
      <c r="O1478" s="61"/>
      <c r="P1478" s="61"/>
      <c r="Q1478" s="61"/>
      <c r="R1478" s="61"/>
      <c r="S1478" s="61"/>
      <c r="T1478" s="61"/>
      <c r="U1478" s="61"/>
      <c r="V1478" s="61"/>
      <c r="W1478" s="61"/>
      <c r="X1478" s="61"/>
      <c r="Y1478" s="61"/>
      <c r="Z1478" s="61"/>
      <c r="AA1478" s="61"/>
      <c r="AB1478" s="61"/>
      <c r="AC1478" s="61"/>
    </row>
    <row r="1479" ht="15.75" customHeight="1">
      <c r="A1479" s="61"/>
      <c r="B1479" s="61"/>
      <c r="C1479" s="61"/>
      <c r="D1479" s="61"/>
      <c r="E1479" s="61"/>
      <c r="F1479" s="61"/>
      <c r="G1479" s="61"/>
      <c r="H1479" s="61"/>
      <c r="I1479" s="61"/>
      <c r="J1479" s="61"/>
      <c r="K1479" s="61"/>
      <c r="L1479" s="61"/>
      <c r="M1479" s="61"/>
      <c r="N1479" s="61"/>
      <c r="O1479" s="61"/>
      <c r="P1479" s="61"/>
      <c r="Q1479" s="61"/>
      <c r="R1479" s="61"/>
      <c r="S1479" s="61"/>
      <c r="T1479" s="61"/>
      <c r="U1479" s="61"/>
      <c r="V1479" s="61"/>
      <c r="W1479" s="61"/>
      <c r="X1479" s="61"/>
      <c r="Y1479" s="61"/>
      <c r="Z1479" s="61"/>
      <c r="AA1479" s="61"/>
      <c r="AB1479" s="61"/>
      <c r="AC1479" s="61"/>
    </row>
    <row r="1480" ht="15.75" customHeight="1">
      <c r="A1480" s="61"/>
      <c r="B1480" s="61"/>
      <c r="C1480" s="61"/>
      <c r="D1480" s="61"/>
      <c r="E1480" s="61"/>
      <c r="F1480" s="61"/>
      <c r="G1480" s="61"/>
      <c r="H1480" s="61"/>
      <c r="I1480" s="61"/>
      <c r="J1480" s="61"/>
      <c r="K1480" s="61"/>
      <c r="L1480" s="61"/>
      <c r="M1480" s="61"/>
      <c r="N1480" s="61"/>
      <c r="O1480" s="61"/>
      <c r="P1480" s="61"/>
      <c r="Q1480" s="61"/>
      <c r="R1480" s="61"/>
      <c r="S1480" s="61"/>
      <c r="T1480" s="61"/>
      <c r="U1480" s="61"/>
      <c r="V1480" s="61"/>
      <c r="W1480" s="61"/>
      <c r="X1480" s="61"/>
      <c r="Y1480" s="61"/>
      <c r="Z1480" s="61"/>
      <c r="AA1480" s="61"/>
      <c r="AB1480" s="61"/>
      <c r="AC1480" s="61"/>
    </row>
    <row r="1481" ht="15.75" customHeight="1">
      <c r="A1481" s="61"/>
      <c r="B1481" s="61"/>
      <c r="C1481" s="61"/>
      <c r="D1481" s="61"/>
      <c r="E1481" s="61"/>
      <c r="F1481" s="61"/>
      <c r="G1481" s="61"/>
      <c r="H1481" s="61"/>
      <c r="I1481" s="61"/>
      <c r="J1481" s="61"/>
      <c r="K1481" s="61"/>
      <c r="L1481" s="61"/>
      <c r="M1481" s="61"/>
      <c r="N1481" s="61"/>
      <c r="O1481" s="61"/>
      <c r="P1481" s="61"/>
      <c r="Q1481" s="61"/>
      <c r="R1481" s="61"/>
      <c r="S1481" s="61"/>
      <c r="T1481" s="61"/>
      <c r="U1481" s="61"/>
      <c r="V1481" s="61"/>
      <c r="W1481" s="61"/>
      <c r="X1481" s="61"/>
      <c r="Y1481" s="61"/>
      <c r="Z1481" s="61"/>
      <c r="AA1481" s="61"/>
      <c r="AB1481" s="61"/>
      <c r="AC1481" s="61"/>
    </row>
    <row r="1482" ht="15.75" customHeight="1">
      <c r="A1482" s="61"/>
      <c r="B1482" s="61"/>
      <c r="C1482" s="61"/>
      <c r="D1482" s="61"/>
      <c r="E1482" s="61"/>
      <c r="F1482" s="61"/>
      <c r="G1482" s="61"/>
      <c r="H1482" s="61"/>
      <c r="I1482" s="61"/>
      <c r="J1482" s="61"/>
      <c r="K1482" s="61"/>
      <c r="L1482" s="61"/>
      <c r="M1482" s="61"/>
      <c r="N1482" s="61"/>
      <c r="O1482" s="61"/>
      <c r="P1482" s="61"/>
      <c r="Q1482" s="61"/>
      <c r="R1482" s="61"/>
      <c r="S1482" s="61"/>
      <c r="T1482" s="61"/>
      <c r="U1482" s="61"/>
      <c r="V1482" s="61"/>
      <c r="W1482" s="61"/>
      <c r="X1482" s="61"/>
      <c r="Y1482" s="61"/>
      <c r="Z1482" s="61"/>
      <c r="AA1482" s="61"/>
      <c r="AB1482" s="61"/>
      <c r="AC1482" s="61"/>
    </row>
    <row r="1483" ht="15.75" customHeight="1">
      <c r="A1483" s="61"/>
      <c r="B1483" s="61"/>
      <c r="C1483" s="61"/>
      <c r="D1483" s="61"/>
      <c r="E1483" s="61"/>
      <c r="F1483" s="61"/>
      <c r="G1483" s="61"/>
      <c r="H1483" s="61"/>
      <c r="I1483" s="61"/>
      <c r="J1483" s="61"/>
      <c r="K1483" s="61"/>
      <c r="L1483" s="61"/>
      <c r="M1483" s="61"/>
      <c r="N1483" s="61"/>
      <c r="O1483" s="61"/>
      <c r="P1483" s="61"/>
      <c r="Q1483" s="61"/>
      <c r="R1483" s="61"/>
      <c r="S1483" s="61"/>
      <c r="T1483" s="61"/>
      <c r="U1483" s="61"/>
      <c r="V1483" s="61"/>
      <c r="W1483" s="61"/>
      <c r="X1483" s="61"/>
      <c r="Y1483" s="61"/>
      <c r="Z1483" s="61"/>
      <c r="AA1483" s="61"/>
      <c r="AB1483" s="61"/>
      <c r="AC1483" s="61"/>
    </row>
    <row r="1484" ht="15.75" customHeight="1">
      <c r="A1484" s="61"/>
      <c r="B1484" s="61"/>
      <c r="C1484" s="61"/>
      <c r="D1484" s="61"/>
      <c r="E1484" s="61"/>
      <c r="F1484" s="61"/>
      <c r="G1484" s="61"/>
      <c r="H1484" s="61"/>
      <c r="I1484" s="61"/>
      <c r="J1484" s="61"/>
      <c r="K1484" s="61"/>
      <c r="L1484" s="61"/>
      <c r="M1484" s="61"/>
      <c r="N1484" s="61"/>
      <c r="O1484" s="61"/>
      <c r="P1484" s="61"/>
      <c r="Q1484" s="61"/>
      <c r="R1484" s="61"/>
      <c r="S1484" s="61"/>
      <c r="T1484" s="61"/>
      <c r="U1484" s="61"/>
      <c r="V1484" s="61"/>
      <c r="W1484" s="61"/>
      <c r="X1484" s="61"/>
      <c r="Y1484" s="61"/>
      <c r="Z1484" s="61"/>
      <c r="AA1484" s="61"/>
      <c r="AB1484" s="61"/>
      <c r="AC1484" s="61"/>
    </row>
    <row r="1485" ht="15.75" customHeight="1">
      <c r="A1485" s="61"/>
      <c r="B1485" s="61"/>
      <c r="C1485" s="61"/>
      <c r="D1485" s="61"/>
      <c r="E1485" s="61"/>
      <c r="F1485" s="61"/>
      <c r="G1485" s="61"/>
      <c r="H1485" s="61"/>
      <c r="I1485" s="61"/>
      <c r="J1485" s="61"/>
      <c r="K1485" s="61"/>
      <c r="L1485" s="61"/>
      <c r="M1485" s="61"/>
      <c r="N1485" s="61"/>
      <c r="O1485" s="61"/>
      <c r="P1485" s="61"/>
      <c r="Q1485" s="61"/>
      <c r="R1485" s="61"/>
      <c r="S1485" s="61"/>
      <c r="T1485" s="61"/>
      <c r="U1485" s="61"/>
      <c r="V1485" s="61"/>
      <c r="W1485" s="61"/>
      <c r="X1485" s="61"/>
      <c r="Y1485" s="61"/>
      <c r="Z1485" s="61"/>
      <c r="AA1485" s="61"/>
      <c r="AB1485" s="61"/>
      <c r="AC1485" s="61"/>
    </row>
    <row r="1486" ht="15.75" customHeight="1">
      <c r="A1486" s="61"/>
      <c r="B1486" s="61"/>
      <c r="C1486" s="61"/>
      <c r="D1486" s="61"/>
      <c r="E1486" s="61"/>
      <c r="F1486" s="61"/>
      <c r="G1486" s="61"/>
      <c r="H1486" s="61"/>
      <c r="I1486" s="61"/>
      <c r="J1486" s="61"/>
      <c r="K1486" s="61"/>
      <c r="L1486" s="61"/>
      <c r="M1486" s="61"/>
      <c r="N1486" s="61"/>
      <c r="O1486" s="61"/>
      <c r="P1486" s="61"/>
      <c r="Q1486" s="61"/>
      <c r="R1486" s="61"/>
      <c r="S1486" s="61"/>
      <c r="T1486" s="61"/>
      <c r="U1486" s="61"/>
      <c r="V1486" s="61"/>
      <c r="W1486" s="61"/>
      <c r="X1486" s="61"/>
      <c r="Y1486" s="61"/>
      <c r="Z1486" s="61"/>
      <c r="AA1486" s="61"/>
      <c r="AB1486" s="61"/>
      <c r="AC1486" s="61"/>
    </row>
    <row r="1487" ht="15.75" customHeight="1">
      <c r="A1487" s="61"/>
      <c r="B1487" s="61"/>
      <c r="C1487" s="61"/>
      <c r="D1487" s="61"/>
      <c r="E1487" s="61"/>
      <c r="F1487" s="61"/>
      <c r="G1487" s="61"/>
      <c r="H1487" s="61"/>
      <c r="I1487" s="61"/>
      <c r="J1487" s="61"/>
      <c r="K1487" s="61"/>
      <c r="L1487" s="61"/>
      <c r="M1487" s="61"/>
      <c r="N1487" s="61"/>
      <c r="O1487" s="61"/>
      <c r="P1487" s="61"/>
      <c r="Q1487" s="61"/>
      <c r="R1487" s="61"/>
      <c r="S1487" s="61"/>
      <c r="T1487" s="61"/>
      <c r="U1487" s="61"/>
      <c r="V1487" s="61"/>
      <c r="W1487" s="61"/>
      <c r="X1487" s="61"/>
      <c r="Y1487" s="61"/>
      <c r="Z1487" s="61"/>
      <c r="AA1487" s="61"/>
      <c r="AB1487" s="61"/>
      <c r="AC1487" s="61"/>
    </row>
    <row r="1488" ht="15.75" customHeight="1">
      <c r="A1488" s="61"/>
      <c r="B1488" s="61"/>
      <c r="C1488" s="61"/>
      <c r="D1488" s="61"/>
      <c r="E1488" s="61"/>
      <c r="F1488" s="61"/>
      <c r="G1488" s="61"/>
      <c r="H1488" s="61"/>
      <c r="I1488" s="61"/>
      <c r="J1488" s="61"/>
      <c r="K1488" s="61"/>
      <c r="L1488" s="61"/>
      <c r="M1488" s="61"/>
      <c r="N1488" s="61"/>
      <c r="O1488" s="61"/>
      <c r="P1488" s="61"/>
      <c r="Q1488" s="61"/>
      <c r="R1488" s="61"/>
      <c r="S1488" s="61"/>
      <c r="T1488" s="61"/>
      <c r="U1488" s="61"/>
      <c r="V1488" s="61"/>
      <c r="W1488" s="61"/>
      <c r="X1488" s="61"/>
      <c r="Y1488" s="61"/>
      <c r="Z1488" s="61"/>
      <c r="AA1488" s="61"/>
      <c r="AB1488" s="61"/>
      <c r="AC1488" s="61"/>
    </row>
    <row r="1489" ht="15.75" customHeight="1">
      <c r="A1489" s="61"/>
      <c r="B1489" s="61"/>
      <c r="C1489" s="61"/>
      <c r="D1489" s="61"/>
      <c r="E1489" s="61"/>
      <c r="F1489" s="61"/>
      <c r="G1489" s="61"/>
      <c r="H1489" s="61"/>
      <c r="I1489" s="61"/>
      <c r="J1489" s="61"/>
      <c r="K1489" s="61"/>
      <c r="L1489" s="61"/>
      <c r="M1489" s="61"/>
      <c r="N1489" s="61"/>
      <c r="O1489" s="61"/>
      <c r="P1489" s="61"/>
      <c r="Q1489" s="61"/>
      <c r="R1489" s="61"/>
      <c r="S1489" s="61"/>
      <c r="T1489" s="61"/>
      <c r="U1489" s="61"/>
      <c r="V1489" s="61"/>
      <c r="W1489" s="61"/>
      <c r="X1489" s="61"/>
      <c r="Y1489" s="61"/>
      <c r="Z1489" s="61"/>
      <c r="AA1489" s="61"/>
      <c r="AB1489" s="61"/>
      <c r="AC1489" s="61"/>
    </row>
    <row r="1490" ht="15.75" customHeight="1">
      <c r="A1490" s="61"/>
      <c r="B1490" s="61"/>
      <c r="C1490" s="61"/>
      <c r="D1490" s="61"/>
      <c r="E1490" s="61"/>
      <c r="F1490" s="61"/>
      <c r="G1490" s="61"/>
      <c r="H1490" s="61"/>
      <c r="I1490" s="61"/>
      <c r="J1490" s="61"/>
      <c r="K1490" s="61"/>
      <c r="L1490" s="61"/>
      <c r="M1490" s="61"/>
      <c r="N1490" s="61"/>
      <c r="O1490" s="61"/>
      <c r="P1490" s="61"/>
      <c r="Q1490" s="61"/>
      <c r="R1490" s="61"/>
      <c r="S1490" s="61"/>
      <c r="T1490" s="61"/>
      <c r="U1490" s="61"/>
      <c r="V1490" s="61"/>
      <c r="W1490" s="61"/>
      <c r="X1490" s="61"/>
      <c r="Y1490" s="61"/>
      <c r="Z1490" s="61"/>
      <c r="AA1490" s="61"/>
      <c r="AB1490" s="61"/>
      <c r="AC1490" s="61"/>
    </row>
    <row r="1491" ht="15.75" customHeight="1">
      <c r="A1491" s="61"/>
      <c r="B1491" s="61"/>
      <c r="C1491" s="61"/>
      <c r="D1491" s="61"/>
      <c r="E1491" s="61"/>
      <c r="F1491" s="61"/>
      <c r="G1491" s="61"/>
      <c r="H1491" s="61"/>
      <c r="I1491" s="61"/>
      <c r="J1491" s="61"/>
      <c r="K1491" s="61"/>
      <c r="L1491" s="61"/>
      <c r="M1491" s="61"/>
      <c r="N1491" s="61"/>
      <c r="O1491" s="61"/>
      <c r="P1491" s="61"/>
      <c r="Q1491" s="61"/>
      <c r="R1491" s="61"/>
      <c r="S1491" s="61"/>
      <c r="T1491" s="61"/>
      <c r="U1491" s="61"/>
      <c r="V1491" s="61"/>
      <c r="W1491" s="61"/>
      <c r="X1491" s="61"/>
      <c r="Y1491" s="61"/>
      <c r="Z1491" s="61"/>
      <c r="AA1491" s="61"/>
      <c r="AB1491" s="61"/>
      <c r="AC1491" s="61"/>
    </row>
    <row r="1492" ht="15.75" customHeight="1">
      <c r="A1492" s="61"/>
      <c r="B1492" s="61"/>
      <c r="C1492" s="61"/>
      <c r="D1492" s="61"/>
      <c r="E1492" s="61"/>
      <c r="F1492" s="61"/>
      <c r="G1492" s="61"/>
      <c r="H1492" s="61"/>
      <c r="I1492" s="61"/>
      <c r="J1492" s="61"/>
      <c r="K1492" s="61"/>
      <c r="L1492" s="61"/>
      <c r="M1492" s="61"/>
      <c r="N1492" s="61"/>
      <c r="O1492" s="61"/>
      <c r="P1492" s="61"/>
      <c r="Q1492" s="61"/>
      <c r="R1492" s="61"/>
      <c r="S1492" s="61"/>
      <c r="T1492" s="61"/>
      <c r="U1492" s="61"/>
      <c r="V1492" s="61"/>
      <c r="W1492" s="61"/>
      <c r="X1492" s="61"/>
      <c r="Y1492" s="61"/>
      <c r="Z1492" s="61"/>
      <c r="AA1492" s="61"/>
      <c r="AB1492" s="61"/>
      <c r="AC1492" s="61"/>
    </row>
    <row r="1493" ht="15.75" customHeight="1">
      <c r="A1493" s="61"/>
      <c r="B1493" s="61"/>
      <c r="C1493" s="61"/>
      <c r="D1493" s="61"/>
      <c r="E1493" s="61"/>
      <c r="F1493" s="61"/>
      <c r="G1493" s="61"/>
      <c r="H1493" s="61"/>
      <c r="I1493" s="61"/>
      <c r="J1493" s="61"/>
      <c r="K1493" s="61"/>
      <c r="L1493" s="61"/>
      <c r="M1493" s="61"/>
      <c r="N1493" s="61"/>
      <c r="O1493" s="61"/>
      <c r="P1493" s="61"/>
      <c r="Q1493" s="61"/>
      <c r="R1493" s="61"/>
      <c r="S1493" s="61"/>
      <c r="T1493" s="61"/>
      <c r="U1493" s="61"/>
      <c r="V1493" s="61"/>
      <c r="W1493" s="61"/>
      <c r="X1493" s="61"/>
      <c r="Y1493" s="61"/>
      <c r="Z1493" s="61"/>
      <c r="AA1493" s="61"/>
      <c r="AB1493" s="61"/>
      <c r="AC1493" s="61"/>
    </row>
    <row r="1494" ht="15.75" customHeight="1">
      <c r="A1494" s="61"/>
      <c r="B1494" s="61"/>
      <c r="C1494" s="61"/>
      <c r="D1494" s="61"/>
      <c r="E1494" s="61"/>
      <c r="F1494" s="61"/>
      <c r="G1494" s="61"/>
      <c r="H1494" s="61"/>
      <c r="I1494" s="61"/>
      <c r="J1494" s="61"/>
      <c r="K1494" s="61"/>
      <c r="L1494" s="61"/>
      <c r="M1494" s="61"/>
      <c r="N1494" s="61"/>
      <c r="O1494" s="61"/>
      <c r="P1494" s="61"/>
      <c r="Q1494" s="61"/>
      <c r="R1494" s="61"/>
      <c r="S1494" s="61"/>
      <c r="T1494" s="61"/>
      <c r="U1494" s="61"/>
      <c r="V1494" s="61"/>
      <c r="W1494" s="61"/>
      <c r="X1494" s="61"/>
      <c r="Y1494" s="61"/>
      <c r="Z1494" s="61"/>
      <c r="AA1494" s="61"/>
      <c r="AB1494" s="61"/>
      <c r="AC1494" s="61"/>
    </row>
    <row r="1495" ht="15.75" customHeight="1">
      <c r="A1495" s="61"/>
      <c r="B1495" s="61"/>
      <c r="C1495" s="61"/>
      <c r="D1495" s="61"/>
      <c r="E1495" s="61"/>
      <c r="F1495" s="61"/>
      <c r="G1495" s="61"/>
      <c r="H1495" s="61"/>
      <c r="I1495" s="61"/>
      <c r="J1495" s="61"/>
      <c r="K1495" s="61"/>
      <c r="L1495" s="61"/>
      <c r="M1495" s="61"/>
      <c r="N1495" s="61"/>
      <c r="O1495" s="61"/>
      <c r="P1495" s="61"/>
      <c r="Q1495" s="61"/>
      <c r="R1495" s="61"/>
      <c r="S1495" s="61"/>
      <c r="T1495" s="61"/>
      <c r="U1495" s="61"/>
      <c r="V1495" s="61"/>
      <c r="W1495" s="61"/>
      <c r="X1495" s="61"/>
      <c r="Y1495" s="61"/>
      <c r="Z1495" s="61"/>
      <c r="AA1495" s="61"/>
      <c r="AB1495" s="61"/>
      <c r="AC1495" s="61"/>
    </row>
    <row r="1496" ht="15.75" customHeight="1">
      <c r="A1496" s="61"/>
      <c r="B1496" s="61"/>
      <c r="C1496" s="61"/>
      <c r="D1496" s="61"/>
      <c r="E1496" s="61"/>
      <c r="F1496" s="61"/>
      <c r="G1496" s="61"/>
      <c r="H1496" s="61"/>
      <c r="I1496" s="61"/>
      <c r="J1496" s="61"/>
      <c r="K1496" s="61"/>
      <c r="L1496" s="61"/>
      <c r="M1496" s="61"/>
      <c r="N1496" s="61"/>
      <c r="O1496" s="61"/>
      <c r="P1496" s="61"/>
      <c r="Q1496" s="61"/>
      <c r="R1496" s="61"/>
      <c r="S1496" s="61"/>
      <c r="T1496" s="61"/>
      <c r="U1496" s="61"/>
      <c r="V1496" s="61"/>
      <c r="W1496" s="61"/>
      <c r="X1496" s="61"/>
      <c r="Y1496" s="61"/>
      <c r="Z1496" s="61"/>
      <c r="AA1496" s="61"/>
      <c r="AB1496" s="61"/>
      <c r="AC1496" s="61"/>
    </row>
    <row r="1497" ht="15.75" customHeight="1">
      <c r="A1497" s="61"/>
      <c r="B1497" s="61"/>
      <c r="C1497" s="61"/>
      <c r="D1497" s="61"/>
      <c r="E1497" s="61"/>
      <c r="F1497" s="61"/>
      <c r="G1497" s="61"/>
      <c r="H1497" s="61"/>
      <c r="I1497" s="61"/>
      <c r="J1497" s="61"/>
      <c r="K1497" s="61"/>
      <c r="L1497" s="61"/>
      <c r="M1497" s="61"/>
      <c r="N1497" s="61"/>
      <c r="O1497" s="61"/>
      <c r="P1497" s="61"/>
      <c r="Q1497" s="61"/>
      <c r="R1497" s="61"/>
      <c r="S1497" s="61"/>
      <c r="T1497" s="61"/>
      <c r="U1497" s="61"/>
      <c r="V1497" s="61"/>
      <c r="W1497" s="61"/>
      <c r="X1497" s="61"/>
      <c r="Y1497" s="61"/>
      <c r="Z1497" s="61"/>
      <c r="AA1497" s="61"/>
      <c r="AB1497" s="61"/>
      <c r="AC1497" s="61"/>
    </row>
    <row r="1498" ht="15.75" customHeight="1">
      <c r="A1498" s="61"/>
      <c r="B1498" s="61"/>
      <c r="C1498" s="61"/>
      <c r="D1498" s="61"/>
      <c r="E1498" s="61"/>
      <c r="F1498" s="61"/>
      <c r="G1498" s="61"/>
      <c r="H1498" s="61"/>
      <c r="I1498" s="61"/>
      <c r="J1498" s="61"/>
      <c r="K1498" s="61"/>
      <c r="L1498" s="61"/>
      <c r="M1498" s="61"/>
      <c r="N1498" s="61"/>
      <c r="O1498" s="61"/>
      <c r="P1498" s="61"/>
      <c r="Q1498" s="61"/>
      <c r="R1498" s="61"/>
      <c r="S1498" s="61"/>
      <c r="T1498" s="61"/>
      <c r="U1498" s="61"/>
      <c r="V1498" s="61"/>
      <c r="W1498" s="61"/>
      <c r="X1498" s="61"/>
      <c r="Y1498" s="61"/>
      <c r="Z1498" s="61"/>
      <c r="AA1498" s="61"/>
      <c r="AB1498" s="61"/>
      <c r="AC1498" s="61"/>
    </row>
    <row r="1499" ht="15.75" customHeight="1">
      <c r="A1499" s="61"/>
      <c r="B1499" s="61"/>
      <c r="C1499" s="61"/>
      <c r="D1499" s="61"/>
      <c r="E1499" s="61"/>
      <c r="F1499" s="61"/>
      <c r="G1499" s="61"/>
      <c r="H1499" s="61"/>
      <c r="I1499" s="61"/>
      <c r="J1499" s="61"/>
      <c r="K1499" s="61"/>
      <c r="L1499" s="61"/>
      <c r="M1499" s="61"/>
      <c r="N1499" s="61"/>
      <c r="O1499" s="61"/>
      <c r="P1499" s="61"/>
      <c r="Q1499" s="61"/>
      <c r="R1499" s="61"/>
      <c r="S1499" s="61"/>
      <c r="T1499" s="61"/>
      <c r="U1499" s="61"/>
      <c r="V1499" s="61"/>
      <c r="W1499" s="61"/>
      <c r="X1499" s="61"/>
      <c r="Y1499" s="61"/>
      <c r="Z1499" s="61"/>
      <c r="AA1499" s="61"/>
      <c r="AB1499" s="61"/>
      <c r="AC1499" s="61"/>
    </row>
    <row r="1500" ht="15.75" customHeight="1">
      <c r="A1500" s="61"/>
      <c r="B1500" s="61"/>
      <c r="C1500" s="61"/>
      <c r="D1500" s="61"/>
      <c r="E1500" s="61"/>
      <c r="F1500" s="61"/>
      <c r="G1500" s="61"/>
      <c r="H1500" s="61"/>
      <c r="I1500" s="61"/>
      <c r="J1500" s="61"/>
      <c r="K1500" s="61"/>
      <c r="L1500" s="61"/>
      <c r="M1500" s="61"/>
      <c r="N1500" s="61"/>
      <c r="O1500" s="61"/>
      <c r="P1500" s="61"/>
      <c r="Q1500" s="61"/>
      <c r="R1500" s="61"/>
      <c r="S1500" s="61"/>
      <c r="T1500" s="61"/>
      <c r="U1500" s="61"/>
      <c r="V1500" s="61"/>
      <c r="W1500" s="61"/>
      <c r="X1500" s="61"/>
      <c r="Y1500" s="61"/>
      <c r="Z1500" s="61"/>
      <c r="AA1500" s="61"/>
      <c r="AB1500" s="61"/>
      <c r="AC1500" s="61"/>
    </row>
    <row r="1501" ht="15.75" customHeight="1">
      <c r="A1501" s="61"/>
      <c r="B1501" s="61"/>
      <c r="C1501" s="61"/>
      <c r="D1501" s="61"/>
      <c r="E1501" s="61"/>
      <c r="F1501" s="61"/>
      <c r="G1501" s="61"/>
      <c r="H1501" s="61"/>
      <c r="I1501" s="61"/>
      <c r="J1501" s="61"/>
      <c r="K1501" s="61"/>
      <c r="L1501" s="61"/>
      <c r="M1501" s="61"/>
      <c r="N1501" s="61"/>
      <c r="O1501" s="61"/>
      <c r="P1501" s="61"/>
      <c r="Q1501" s="61"/>
      <c r="R1501" s="61"/>
      <c r="S1501" s="61"/>
      <c r="T1501" s="61"/>
      <c r="U1501" s="61"/>
      <c r="V1501" s="61"/>
      <c r="W1501" s="61"/>
      <c r="X1501" s="61"/>
      <c r="Y1501" s="61"/>
      <c r="Z1501" s="61"/>
      <c r="AA1501" s="61"/>
      <c r="AB1501" s="61"/>
      <c r="AC1501" s="61"/>
    </row>
    <row r="1502" ht="15.75" customHeight="1">
      <c r="A1502" s="61"/>
      <c r="B1502" s="61"/>
      <c r="C1502" s="61"/>
      <c r="D1502" s="61"/>
      <c r="E1502" s="61"/>
      <c r="F1502" s="61"/>
      <c r="G1502" s="61"/>
      <c r="H1502" s="61"/>
      <c r="I1502" s="61"/>
      <c r="J1502" s="61"/>
      <c r="K1502" s="61"/>
      <c r="L1502" s="61"/>
      <c r="M1502" s="61"/>
      <c r="N1502" s="61"/>
      <c r="O1502" s="61"/>
      <c r="P1502" s="61"/>
      <c r="Q1502" s="61"/>
      <c r="R1502" s="61"/>
      <c r="S1502" s="61"/>
      <c r="T1502" s="61"/>
      <c r="U1502" s="61"/>
      <c r="V1502" s="61"/>
      <c r="W1502" s="61"/>
      <c r="X1502" s="61"/>
      <c r="Y1502" s="61"/>
      <c r="Z1502" s="61"/>
      <c r="AA1502" s="61"/>
      <c r="AB1502" s="61"/>
      <c r="AC1502" s="61"/>
    </row>
    <row r="1503" ht="15.75" customHeight="1">
      <c r="A1503" s="61"/>
      <c r="B1503" s="61"/>
      <c r="C1503" s="61"/>
      <c r="D1503" s="61"/>
      <c r="E1503" s="61"/>
      <c r="F1503" s="61"/>
      <c r="G1503" s="61"/>
      <c r="H1503" s="61"/>
      <c r="I1503" s="61"/>
      <c r="J1503" s="61"/>
      <c r="K1503" s="61"/>
      <c r="L1503" s="61"/>
      <c r="M1503" s="61"/>
      <c r="N1503" s="61"/>
      <c r="O1503" s="61"/>
      <c r="P1503" s="61"/>
      <c r="Q1503" s="61"/>
      <c r="R1503" s="61"/>
      <c r="S1503" s="61"/>
      <c r="T1503" s="61"/>
      <c r="U1503" s="61"/>
      <c r="V1503" s="61"/>
      <c r="W1503" s="61"/>
      <c r="X1503" s="61"/>
      <c r="Y1503" s="61"/>
      <c r="Z1503" s="61"/>
      <c r="AA1503" s="61"/>
      <c r="AB1503" s="61"/>
      <c r="AC1503" s="61"/>
    </row>
    <row r="1504" ht="15.75" customHeight="1">
      <c r="A1504" s="61"/>
      <c r="B1504" s="61"/>
      <c r="C1504" s="61"/>
      <c r="D1504" s="61"/>
      <c r="E1504" s="61"/>
      <c r="F1504" s="61"/>
      <c r="G1504" s="61"/>
      <c r="H1504" s="61"/>
      <c r="I1504" s="61"/>
      <c r="J1504" s="61"/>
      <c r="K1504" s="61"/>
      <c r="L1504" s="61"/>
      <c r="M1504" s="61"/>
      <c r="N1504" s="61"/>
      <c r="O1504" s="61"/>
      <c r="P1504" s="61"/>
      <c r="Q1504" s="61"/>
      <c r="R1504" s="61"/>
      <c r="S1504" s="61"/>
      <c r="T1504" s="61"/>
      <c r="U1504" s="61"/>
      <c r="V1504" s="61"/>
      <c r="W1504" s="61"/>
      <c r="X1504" s="61"/>
      <c r="Y1504" s="61"/>
      <c r="Z1504" s="61"/>
      <c r="AA1504" s="61"/>
      <c r="AB1504" s="61"/>
      <c r="AC1504" s="61"/>
    </row>
    <row r="1505" ht="15.75" customHeight="1">
      <c r="A1505" s="61"/>
      <c r="B1505" s="61"/>
      <c r="C1505" s="61"/>
      <c r="D1505" s="61"/>
      <c r="E1505" s="61"/>
      <c r="F1505" s="61"/>
      <c r="G1505" s="61"/>
      <c r="H1505" s="61"/>
      <c r="I1505" s="61"/>
      <c r="J1505" s="61"/>
      <c r="K1505" s="61"/>
      <c r="L1505" s="61"/>
      <c r="M1505" s="61"/>
      <c r="N1505" s="61"/>
      <c r="O1505" s="61"/>
      <c r="P1505" s="61"/>
      <c r="Q1505" s="61"/>
      <c r="R1505" s="61"/>
      <c r="S1505" s="61"/>
      <c r="T1505" s="61"/>
      <c r="U1505" s="61"/>
      <c r="V1505" s="61"/>
      <c r="W1505" s="61"/>
      <c r="X1505" s="61"/>
      <c r="Y1505" s="61"/>
      <c r="Z1505" s="61"/>
      <c r="AA1505" s="61"/>
      <c r="AB1505" s="61"/>
      <c r="AC1505" s="61"/>
    </row>
    <row r="1506" ht="15.75" customHeight="1">
      <c r="A1506" s="61"/>
      <c r="B1506" s="61"/>
      <c r="C1506" s="61"/>
      <c r="D1506" s="61"/>
      <c r="E1506" s="61"/>
      <c r="F1506" s="61"/>
      <c r="G1506" s="61"/>
      <c r="H1506" s="61"/>
      <c r="I1506" s="61"/>
      <c r="J1506" s="61"/>
      <c r="K1506" s="61"/>
      <c r="L1506" s="61"/>
      <c r="M1506" s="61"/>
      <c r="N1506" s="61"/>
      <c r="O1506" s="61"/>
      <c r="P1506" s="61"/>
      <c r="Q1506" s="61"/>
      <c r="R1506" s="61"/>
      <c r="S1506" s="61"/>
      <c r="T1506" s="61"/>
      <c r="U1506" s="61"/>
      <c r="V1506" s="61"/>
      <c r="W1506" s="61"/>
      <c r="X1506" s="61"/>
      <c r="Y1506" s="61"/>
      <c r="Z1506" s="61"/>
      <c r="AA1506" s="61"/>
      <c r="AB1506" s="61"/>
      <c r="AC1506" s="61"/>
    </row>
    <row r="1507" ht="15.75" customHeight="1">
      <c r="A1507" s="61"/>
      <c r="B1507" s="61"/>
      <c r="C1507" s="61"/>
      <c r="D1507" s="61"/>
      <c r="E1507" s="61"/>
      <c r="F1507" s="61"/>
      <c r="G1507" s="61"/>
      <c r="H1507" s="61"/>
      <c r="I1507" s="61"/>
      <c r="J1507" s="61"/>
      <c r="K1507" s="61"/>
      <c r="L1507" s="61"/>
      <c r="M1507" s="61"/>
      <c r="N1507" s="61"/>
      <c r="O1507" s="61"/>
      <c r="P1507" s="61"/>
      <c r="Q1507" s="61"/>
      <c r="R1507" s="61"/>
      <c r="S1507" s="61"/>
      <c r="T1507" s="61"/>
      <c r="U1507" s="61"/>
      <c r="V1507" s="61"/>
      <c r="W1507" s="61"/>
      <c r="X1507" s="61"/>
      <c r="Y1507" s="61"/>
      <c r="Z1507" s="61"/>
      <c r="AA1507" s="61"/>
      <c r="AB1507" s="61"/>
      <c r="AC1507" s="61"/>
    </row>
    <row r="1508" ht="15.75" customHeight="1">
      <c r="A1508" s="61"/>
      <c r="B1508" s="61"/>
      <c r="C1508" s="61"/>
      <c r="D1508" s="61"/>
      <c r="E1508" s="61"/>
      <c r="F1508" s="61"/>
      <c r="G1508" s="61"/>
      <c r="H1508" s="61"/>
      <c r="I1508" s="61"/>
      <c r="J1508" s="61"/>
      <c r="K1508" s="61"/>
      <c r="L1508" s="61"/>
      <c r="M1508" s="61"/>
      <c r="N1508" s="61"/>
      <c r="O1508" s="61"/>
      <c r="P1508" s="61"/>
      <c r="Q1508" s="61"/>
      <c r="R1508" s="61"/>
      <c r="S1508" s="61"/>
      <c r="T1508" s="61"/>
      <c r="U1508" s="61"/>
      <c r="V1508" s="61"/>
      <c r="W1508" s="61"/>
      <c r="X1508" s="61"/>
      <c r="Y1508" s="61"/>
      <c r="Z1508" s="61"/>
      <c r="AA1508" s="61"/>
      <c r="AB1508" s="61"/>
      <c r="AC1508" s="61"/>
    </row>
    <row r="1509" ht="15.75" customHeight="1">
      <c r="A1509" s="61"/>
      <c r="B1509" s="61"/>
      <c r="C1509" s="61"/>
      <c r="D1509" s="61"/>
      <c r="E1509" s="61"/>
      <c r="F1509" s="61"/>
      <c r="G1509" s="61"/>
      <c r="H1509" s="61"/>
      <c r="I1509" s="61"/>
      <c r="J1509" s="61"/>
      <c r="K1509" s="61"/>
      <c r="L1509" s="61"/>
      <c r="M1509" s="61"/>
      <c r="N1509" s="61"/>
      <c r="O1509" s="61"/>
      <c r="P1509" s="61"/>
      <c r="Q1509" s="61"/>
      <c r="R1509" s="61"/>
      <c r="S1509" s="61"/>
      <c r="T1509" s="61"/>
      <c r="U1509" s="61"/>
      <c r="V1509" s="61"/>
      <c r="W1509" s="61"/>
      <c r="X1509" s="61"/>
      <c r="Y1509" s="61"/>
      <c r="Z1509" s="61"/>
      <c r="AA1509" s="61"/>
      <c r="AB1509" s="61"/>
      <c r="AC1509" s="61"/>
    </row>
    <row r="1510" ht="15.75" customHeight="1">
      <c r="A1510" s="61"/>
      <c r="B1510" s="61"/>
      <c r="C1510" s="61"/>
      <c r="D1510" s="61"/>
      <c r="E1510" s="61"/>
      <c r="F1510" s="61"/>
      <c r="G1510" s="61"/>
      <c r="H1510" s="61"/>
      <c r="I1510" s="61"/>
      <c r="J1510" s="61"/>
      <c r="K1510" s="61"/>
      <c r="L1510" s="61"/>
      <c r="M1510" s="61"/>
      <c r="N1510" s="61"/>
      <c r="O1510" s="61"/>
      <c r="P1510" s="61"/>
      <c r="Q1510" s="61"/>
      <c r="R1510" s="61"/>
      <c r="S1510" s="61"/>
      <c r="T1510" s="61"/>
      <c r="U1510" s="61"/>
      <c r="V1510" s="61"/>
      <c r="W1510" s="61"/>
      <c r="X1510" s="61"/>
      <c r="Y1510" s="61"/>
      <c r="Z1510" s="61"/>
      <c r="AA1510" s="61"/>
      <c r="AB1510" s="61"/>
      <c r="AC1510" s="61"/>
    </row>
    <row r="1511" ht="15.75" customHeight="1">
      <c r="A1511" s="61"/>
      <c r="B1511" s="61"/>
      <c r="C1511" s="61"/>
      <c r="D1511" s="61"/>
      <c r="E1511" s="61"/>
      <c r="F1511" s="61"/>
      <c r="G1511" s="61"/>
      <c r="H1511" s="61"/>
      <c r="I1511" s="61"/>
      <c r="J1511" s="61"/>
      <c r="K1511" s="61"/>
      <c r="L1511" s="61"/>
      <c r="M1511" s="61"/>
      <c r="N1511" s="61"/>
      <c r="O1511" s="61"/>
      <c r="P1511" s="61"/>
      <c r="Q1511" s="61"/>
      <c r="R1511" s="61"/>
      <c r="S1511" s="61"/>
      <c r="T1511" s="61"/>
      <c r="U1511" s="61"/>
      <c r="V1511" s="61"/>
      <c r="W1511" s="61"/>
      <c r="X1511" s="61"/>
      <c r="Y1511" s="61"/>
      <c r="Z1511" s="61"/>
      <c r="AA1511" s="61"/>
      <c r="AB1511" s="61"/>
      <c r="AC1511" s="61"/>
    </row>
    <row r="1512" ht="15.75" customHeight="1">
      <c r="A1512" s="61"/>
      <c r="B1512" s="61"/>
      <c r="C1512" s="61"/>
      <c r="D1512" s="61"/>
      <c r="E1512" s="61"/>
      <c r="F1512" s="61"/>
      <c r="G1512" s="61"/>
      <c r="H1512" s="61"/>
      <c r="I1512" s="61"/>
      <c r="J1512" s="61"/>
      <c r="K1512" s="61"/>
      <c r="L1512" s="61"/>
      <c r="M1512" s="61"/>
      <c r="N1512" s="61"/>
      <c r="O1512" s="61"/>
      <c r="P1512" s="61"/>
      <c r="Q1512" s="61"/>
      <c r="R1512" s="61"/>
      <c r="S1512" s="61"/>
      <c r="T1512" s="61"/>
      <c r="U1512" s="61"/>
      <c r="V1512" s="61"/>
      <c r="W1512" s="61"/>
      <c r="X1512" s="61"/>
      <c r="Y1512" s="61"/>
      <c r="Z1512" s="61"/>
      <c r="AA1512" s="61"/>
      <c r="AB1512" s="61"/>
      <c r="AC1512" s="61"/>
    </row>
    <row r="1513" ht="15.75" customHeight="1">
      <c r="A1513" s="61"/>
      <c r="B1513" s="61"/>
      <c r="C1513" s="61"/>
      <c r="D1513" s="61"/>
      <c r="E1513" s="61"/>
      <c r="F1513" s="61"/>
      <c r="G1513" s="61"/>
      <c r="H1513" s="61"/>
      <c r="I1513" s="61"/>
      <c r="J1513" s="61"/>
      <c r="K1513" s="61"/>
      <c r="L1513" s="61"/>
      <c r="M1513" s="61"/>
      <c r="N1513" s="61"/>
      <c r="O1513" s="61"/>
      <c r="P1513" s="61"/>
      <c r="Q1513" s="61"/>
      <c r="R1513" s="61"/>
      <c r="S1513" s="61"/>
      <c r="T1513" s="61"/>
      <c r="U1513" s="61"/>
      <c r="V1513" s="61"/>
      <c r="W1513" s="61"/>
      <c r="X1513" s="61"/>
      <c r="Y1513" s="61"/>
      <c r="Z1513" s="61"/>
      <c r="AA1513" s="61"/>
      <c r="AB1513" s="61"/>
      <c r="AC1513" s="61"/>
    </row>
    <row r="1514" ht="15.75" customHeight="1">
      <c r="A1514" s="61"/>
      <c r="B1514" s="61"/>
      <c r="C1514" s="61"/>
      <c r="D1514" s="61"/>
      <c r="E1514" s="61"/>
      <c r="F1514" s="61"/>
      <c r="G1514" s="61"/>
      <c r="H1514" s="61"/>
      <c r="I1514" s="61"/>
      <c r="J1514" s="61"/>
      <c r="K1514" s="61"/>
      <c r="L1514" s="61"/>
      <c r="M1514" s="61"/>
      <c r="N1514" s="61"/>
      <c r="O1514" s="61"/>
      <c r="P1514" s="61"/>
      <c r="Q1514" s="61"/>
      <c r="R1514" s="61"/>
      <c r="S1514" s="61"/>
      <c r="T1514" s="61"/>
      <c r="U1514" s="61"/>
      <c r="V1514" s="61"/>
      <c r="W1514" s="61"/>
      <c r="X1514" s="61"/>
      <c r="Y1514" s="61"/>
      <c r="Z1514" s="61"/>
      <c r="AA1514" s="61"/>
      <c r="AB1514" s="61"/>
      <c r="AC1514" s="61"/>
    </row>
    <row r="1515" ht="15.75" customHeight="1">
      <c r="A1515" s="61"/>
      <c r="B1515" s="61"/>
      <c r="C1515" s="61"/>
      <c r="D1515" s="61"/>
      <c r="E1515" s="61"/>
      <c r="F1515" s="61"/>
      <c r="G1515" s="61"/>
      <c r="H1515" s="61"/>
      <c r="I1515" s="61"/>
      <c r="J1515" s="61"/>
      <c r="K1515" s="61"/>
      <c r="L1515" s="61"/>
      <c r="M1515" s="61"/>
      <c r="N1515" s="61"/>
      <c r="O1515" s="61"/>
      <c r="P1515" s="61"/>
      <c r="Q1515" s="61"/>
      <c r="R1515" s="61"/>
      <c r="S1515" s="61"/>
      <c r="T1515" s="61"/>
      <c r="U1515" s="61"/>
      <c r="V1515" s="61"/>
      <c r="W1515" s="61"/>
      <c r="X1515" s="61"/>
      <c r="Y1515" s="61"/>
      <c r="Z1515" s="61"/>
      <c r="AA1515" s="61"/>
      <c r="AB1515" s="61"/>
      <c r="AC1515" s="61"/>
    </row>
    <row r="1516" ht="15.75" customHeight="1">
      <c r="A1516" s="61"/>
      <c r="B1516" s="61"/>
      <c r="C1516" s="61"/>
      <c r="D1516" s="61"/>
      <c r="E1516" s="61"/>
      <c r="F1516" s="61"/>
      <c r="G1516" s="61"/>
      <c r="H1516" s="61"/>
      <c r="I1516" s="61"/>
      <c r="J1516" s="61"/>
      <c r="K1516" s="61"/>
      <c r="L1516" s="61"/>
      <c r="M1516" s="61"/>
      <c r="N1516" s="61"/>
      <c r="O1516" s="61"/>
      <c r="P1516" s="61"/>
      <c r="Q1516" s="61"/>
      <c r="R1516" s="61"/>
      <c r="S1516" s="61"/>
      <c r="T1516" s="61"/>
      <c r="U1516" s="61"/>
      <c r="V1516" s="61"/>
      <c r="W1516" s="61"/>
      <c r="X1516" s="61"/>
      <c r="Y1516" s="61"/>
      <c r="Z1516" s="61"/>
      <c r="AA1516" s="61"/>
      <c r="AB1516" s="61"/>
      <c r="AC1516" s="61"/>
    </row>
    <row r="1517" ht="15.75" customHeight="1">
      <c r="A1517" s="61"/>
      <c r="B1517" s="61"/>
      <c r="C1517" s="61"/>
      <c r="D1517" s="61"/>
      <c r="E1517" s="61"/>
      <c r="F1517" s="61"/>
      <c r="G1517" s="61"/>
      <c r="H1517" s="61"/>
      <c r="I1517" s="61"/>
      <c r="J1517" s="61"/>
      <c r="K1517" s="61"/>
      <c r="L1517" s="61"/>
      <c r="M1517" s="61"/>
      <c r="N1517" s="61"/>
      <c r="O1517" s="61"/>
      <c r="P1517" s="61"/>
      <c r="Q1517" s="61"/>
      <c r="R1517" s="61"/>
      <c r="S1517" s="61"/>
      <c r="T1517" s="61"/>
      <c r="U1517" s="61"/>
      <c r="V1517" s="61"/>
      <c r="W1517" s="61"/>
      <c r="X1517" s="61"/>
      <c r="Y1517" s="61"/>
      <c r="Z1517" s="61"/>
      <c r="AA1517" s="61"/>
      <c r="AB1517" s="61"/>
      <c r="AC1517" s="61"/>
    </row>
    <row r="1518" ht="15.75" customHeight="1">
      <c r="A1518" s="61"/>
      <c r="B1518" s="61"/>
      <c r="C1518" s="61"/>
      <c r="D1518" s="61"/>
      <c r="E1518" s="61"/>
      <c r="F1518" s="61"/>
      <c r="G1518" s="61"/>
      <c r="H1518" s="61"/>
      <c r="I1518" s="61"/>
      <c r="J1518" s="61"/>
      <c r="K1518" s="61"/>
      <c r="L1518" s="61"/>
      <c r="M1518" s="61"/>
      <c r="N1518" s="61"/>
      <c r="O1518" s="61"/>
      <c r="P1518" s="61"/>
      <c r="Q1518" s="61"/>
      <c r="R1518" s="61"/>
      <c r="S1518" s="61"/>
      <c r="T1518" s="61"/>
      <c r="U1518" s="61"/>
      <c r="V1518" s="61"/>
      <c r="W1518" s="61"/>
      <c r="X1518" s="61"/>
      <c r="Y1518" s="61"/>
      <c r="Z1518" s="61"/>
      <c r="AA1518" s="61"/>
      <c r="AB1518" s="61"/>
      <c r="AC1518" s="61"/>
    </row>
    <row r="1519" ht="15.75" customHeight="1">
      <c r="A1519" s="61"/>
      <c r="B1519" s="61"/>
      <c r="C1519" s="61"/>
      <c r="D1519" s="61"/>
      <c r="E1519" s="61"/>
      <c r="F1519" s="61"/>
      <c r="G1519" s="61"/>
      <c r="H1519" s="61"/>
      <c r="I1519" s="61"/>
      <c r="J1519" s="61"/>
      <c r="K1519" s="61"/>
      <c r="L1519" s="61"/>
      <c r="M1519" s="61"/>
      <c r="N1519" s="61"/>
      <c r="O1519" s="61"/>
      <c r="P1519" s="61"/>
      <c r="Q1519" s="61"/>
      <c r="R1519" s="61"/>
      <c r="S1519" s="61"/>
      <c r="T1519" s="61"/>
      <c r="U1519" s="61"/>
      <c r="V1519" s="61"/>
      <c r="W1519" s="61"/>
      <c r="X1519" s="61"/>
      <c r="Y1519" s="61"/>
      <c r="Z1519" s="61"/>
      <c r="AA1519" s="61"/>
      <c r="AB1519" s="61"/>
      <c r="AC1519" s="61"/>
    </row>
    <row r="1520" ht="15.75" customHeight="1">
      <c r="A1520" s="61"/>
      <c r="B1520" s="61"/>
      <c r="C1520" s="61"/>
      <c r="D1520" s="61"/>
      <c r="E1520" s="61"/>
      <c r="F1520" s="61"/>
      <c r="G1520" s="61"/>
      <c r="H1520" s="61"/>
      <c r="I1520" s="61"/>
      <c r="J1520" s="61"/>
      <c r="K1520" s="61"/>
      <c r="L1520" s="61"/>
      <c r="M1520" s="61"/>
      <c r="N1520" s="61"/>
      <c r="O1520" s="61"/>
      <c r="P1520" s="61"/>
      <c r="Q1520" s="61"/>
      <c r="R1520" s="61"/>
      <c r="S1520" s="61"/>
      <c r="T1520" s="61"/>
      <c r="U1520" s="61"/>
      <c r="V1520" s="61"/>
      <c r="W1520" s="61"/>
      <c r="X1520" s="61"/>
      <c r="Y1520" s="61"/>
      <c r="Z1520" s="61"/>
      <c r="AA1520" s="61"/>
      <c r="AB1520" s="61"/>
      <c r="AC1520" s="61"/>
    </row>
    <row r="1521" ht="15.75" customHeight="1">
      <c r="A1521" s="61"/>
      <c r="B1521" s="61"/>
      <c r="C1521" s="61"/>
      <c r="D1521" s="61"/>
      <c r="E1521" s="61"/>
      <c r="F1521" s="61"/>
      <c r="G1521" s="61"/>
      <c r="H1521" s="61"/>
      <c r="I1521" s="61"/>
      <c r="J1521" s="61"/>
      <c r="K1521" s="61"/>
      <c r="L1521" s="61"/>
      <c r="M1521" s="61"/>
      <c r="N1521" s="61"/>
      <c r="O1521" s="61"/>
      <c r="P1521" s="61"/>
      <c r="Q1521" s="61"/>
      <c r="R1521" s="61"/>
      <c r="S1521" s="61"/>
      <c r="T1521" s="61"/>
      <c r="U1521" s="61"/>
      <c r="V1521" s="61"/>
      <c r="W1521" s="61"/>
      <c r="X1521" s="61"/>
      <c r="Y1521" s="61"/>
      <c r="Z1521" s="61"/>
      <c r="AA1521" s="61"/>
      <c r="AB1521" s="61"/>
      <c r="AC1521" s="61"/>
    </row>
    <row r="1522" ht="15.75" customHeight="1">
      <c r="A1522" s="61"/>
      <c r="B1522" s="61"/>
      <c r="C1522" s="61"/>
      <c r="D1522" s="61"/>
      <c r="E1522" s="61"/>
      <c r="F1522" s="61"/>
      <c r="G1522" s="61"/>
      <c r="H1522" s="61"/>
      <c r="I1522" s="61"/>
      <c r="J1522" s="61"/>
      <c r="K1522" s="61"/>
      <c r="L1522" s="61"/>
      <c r="M1522" s="61"/>
      <c r="N1522" s="61"/>
      <c r="O1522" s="61"/>
      <c r="P1522" s="61"/>
      <c r="Q1522" s="61"/>
      <c r="R1522" s="61"/>
      <c r="S1522" s="61"/>
      <c r="T1522" s="61"/>
      <c r="U1522" s="61"/>
      <c r="V1522" s="61"/>
      <c r="W1522" s="61"/>
      <c r="X1522" s="61"/>
      <c r="Y1522" s="61"/>
      <c r="Z1522" s="61"/>
      <c r="AA1522" s="61"/>
      <c r="AB1522" s="61"/>
      <c r="AC1522" s="61"/>
    </row>
    <row r="1523" ht="15.75" customHeight="1">
      <c r="A1523" s="61"/>
      <c r="B1523" s="61"/>
      <c r="C1523" s="61"/>
      <c r="D1523" s="61"/>
      <c r="E1523" s="61"/>
      <c r="F1523" s="61"/>
      <c r="G1523" s="61"/>
      <c r="H1523" s="61"/>
      <c r="I1523" s="61"/>
      <c r="J1523" s="61"/>
      <c r="K1523" s="61"/>
      <c r="L1523" s="61"/>
      <c r="M1523" s="61"/>
      <c r="N1523" s="61"/>
      <c r="O1523" s="61"/>
      <c r="P1523" s="61"/>
      <c r="Q1523" s="61"/>
      <c r="R1523" s="61"/>
      <c r="S1523" s="61"/>
      <c r="T1523" s="61"/>
      <c r="U1523" s="61"/>
      <c r="V1523" s="61"/>
      <c r="W1523" s="61"/>
      <c r="X1523" s="61"/>
      <c r="Y1523" s="61"/>
      <c r="Z1523" s="61"/>
      <c r="AA1523" s="61"/>
      <c r="AB1523" s="61"/>
      <c r="AC1523" s="61"/>
    </row>
    <row r="1524" ht="15.75" customHeight="1">
      <c r="A1524" s="61"/>
      <c r="B1524" s="61"/>
      <c r="C1524" s="61"/>
      <c r="D1524" s="61"/>
      <c r="E1524" s="61"/>
      <c r="F1524" s="61"/>
      <c r="G1524" s="61"/>
      <c r="H1524" s="61"/>
      <c r="I1524" s="61"/>
      <c r="J1524" s="61"/>
      <c r="K1524" s="61"/>
      <c r="L1524" s="61"/>
      <c r="M1524" s="61"/>
      <c r="N1524" s="61"/>
      <c r="O1524" s="61"/>
      <c r="P1524" s="61"/>
      <c r="Q1524" s="61"/>
      <c r="R1524" s="61"/>
      <c r="S1524" s="61"/>
      <c r="T1524" s="61"/>
      <c r="U1524" s="61"/>
      <c r="V1524" s="61"/>
      <c r="W1524" s="61"/>
      <c r="X1524" s="61"/>
      <c r="Y1524" s="61"/>
      <c r="Z1524" s="61"/>
      <c r="AA1524" s="61"/>
      <c r="AB1524" s="61"/>
      <c r="AC1524" s="61"/>
    </row>
    <row r="1525" ht="15.75" customHeight="1">
      <c r="A1525" s="61"/>
      <c r="B1525" s="61"/>
      <c r="C1525" s="61"/>
      <c r="D1525" s="61"/>
      <c r="E1525" s="61"/>
      <c r="F1525" s="61"/>
      <c r="G1525" s="61"/>
      <c r="H1525" s="61"/>
      <c r="I1525" s="61"/>
      <c r="J1525" s="61"/>
      <c r="K1525" s="61"/>
      <c r="L1525" s="61"/>
      <c r="M1525" s="61"/>
      <c r="N1525" s="61"/>
      <c r="O1525" s="61"/>
      <c r="P1525" s="61"/>
      <c r="Q1525" s="61"/>
      <c r="R1525" s="61"/>
      <c r="S1525" s="61"/>
      <c r="T1525" s="61"/>
      <c r="U1525" s="61"/>
      <c r="V1525" s="61"/>
      <c r="W1525" s="61"/>
      <c r="X1525" s="61"/>
      <c r="Y1525" s="61"/>
      <c r="Z1525" s="61"/>
      <c r="AA1525" s="61"/>
      <c r="AB1525" s="61"/>
      <c r="AC1525" s="61"/>
    </row>
    <row r="1526" ht="15.75" customHeight="1">
      <c r="A1526" s="61"/>
      <c r="B1526" s="61"/>
      <c r="C1526" s="61"/>
      <c r="D1526" s="61"/>
      <c r="E1526" s="61"/>
      <c r="F1526" s="61"/>
      <c r="G1526" s="61"/>
      <c r="H1526" s="61"/>
      <c r="I1526" s="61"/>
      <c r="J1526" s="61"/>
      <c r="K1526" s="61"/>
      <c r="L1526" s="61"/>
      <c r="M1526" s="61"/>
      <c r="N1526" s="61"/>
      <c r="O1526" s="61"/>
      <c r="P1526" s="61"/>
      <c r="Q1526" s="61"/>
      <c r="R1526" s="61"/>
      <c r="S1526" s="61"/>
      <c r="T1526" s="61"/>
      <c r="U1526" s="61"/>
      <c r="V1526" s="61"/>
      <c r="W1526" s="61"/>
      <c r="X1526" s="61"/>
      <c r="Y1526" s="61"/>
      <c r="Z1526" s="61"/>
      <c r="AA1526" s="61"/>
      <c r="AB1526" s="61"/>
      <c r="AC1526" s="61"/>
    </row>
    <row r="1527" ht="15.75" customHeight="1">
      <c r="A1527" s="61"/>
      <c r="B1527" s="61"/>
      <c r="C1527" s="61"/>
      <c r="D1527" s="61"/>
      <c r="E1527" s="61"/>
      <c r="F1527" s="61"/>
      <c r="G1527" s="61"/>
      <c r="H1527" s="61"/>
      <c r="I1527" s="61"/>
      <c r="J1527" s="61"/>
      <c r="K1527" s="61"/>
      <c r="L1527" s="61"/>
      <c r="M1527" s="61"/>
      <c r="N1527" s="61"/>
      <c r="O1527" s="61"/>
      <c r="P1527" s="61"/>
      <c r="Q1527" s="61"/>
      <c r="R1527" s="61"/>
      <c r="S1527" s="61"/>
      <c r="T1527" s="61"/>
      <c r="U1527" s="61"/>
      <c r="V1527" s="61"/>
      <c r="W1527" s="61"/>
      <c r="X1527" s="61"/>
      <c r="Y1527" s="61"/>
      <c r="Z1527" s="61"/>
      <c r="AA1527" s="61"/>
      <c r="AB1527" s="61"/>
      <c r="AC1527" s="61"/>
    </row>
    <row r="1528" ht="15.75" customHeight="1">
      <c r="A1528" s="61"/>
      <c r="B1528" s="61"/>
      <c r="C1528" s="61"/>
      <c r="D1528" s="61"/>
      <c r="E1528" s="61"/>
      <c r="F1528" s="61"/>
      <c r="G1528" s="61"/>
      <c r="H1528" s="61"/>
      <c r="I1528" s="61"/>
      <c r="J1528" s="61"/>
      <c r="K1528" s="61"/>
      <c r="L1528" s="61"/>
      <c r="M1528" s="61"/>
      <c r="N1528" s="61"/>
      <c r="O1528" s="61"/>
      <c r="P1528" s="61"/>
      <c r="Q1528" s="61"/>
      <c r="R1528" s="61"/>
      <c r="S1528" s="61"/>
      <c r="T1528" s="61"/>
      <c r="U1528" s="61"/>
      <c r="V1528" s="61"/>
      <c r="W1528" s="61"/>
      <c r="X1528" s="61"/>
      <c r="Y1528" s="61"/>
      <c r="Z1528" s="61"/>
      <c r="AA1528" s="61"/>
      <c r="AB1528" s="61"/>
      <c r="AC1528" s="61"/>
    </row>
    <row r="1529" ht="15.75" customHeight="1">
      <c r="A1529" s="61"/>
      <c r="B1529" s="61"/>
      <c r="C1529" s="61"/>
      <c r="D1529" s="61"/>
      <c r="E1529" s="61"/>
      <c r="F1529" s="61"/>
      <c r="G1529" s="61"/>
      <c r="H1529" s="61"/>
      <c r="I1529" s="61"/>
      <c r="J1529" s="61"/>
      <c r="K1529" s="61"/>
      <c r="L1529" s="61"/>
      <c r="M1529" s="61"/>
      <c r="N1529" s="61"/>
      <c r="O1529" s="61"/>
      <c r="P1529" s="61"/>
      <c r="Q1529" s="61"/>
      <c r="R1529" s="61"/>
      <c r="S1529" s="61"/>
      <c r="T1529" s="61"/>
      <c r="U1529" s="61"/>
      <c r="V1529" s="61"/>
      <c r="W1529" s="61"/>
      <c r="X1529" s="61"/>
      <c r="Y1529" s="61"/>
      <c r="Z1529" s="61"/>
      <c r="AA1529" s="61"/>
      <c r="AB1529" s="61"/>
      <c r="AC1529" s="61"/>
    </row>
    <row r="1530" ht="15.75" customHeight="1">
      <c r="A1530" s="61"/>
      <c r="B1530" s="61"/>
      <c r="C1530" s="61"/>
      <c r="D1530" s="61"/>
      <c r="E1530" s="61"/>
      <c r="F1530" s="61"/>
      <c r="G1530" s="61"/>
      <c r="H1530" s="61"/>
      <c r="I1530" s="61"/>
      <c r="J1530" s="61"/>
      <c r="K1530" s="61"/>
      <c r="L1530" s="61"/>
      <c r="M1530" s="61"/>
      <c r="N1530" s="61"/>
      <c r="O1530" s="61"/>
      <c r="P1530" s="61"/>
      <c r="Q1530" s="61"/>
      <c r="R1530" s="61"/>
      <c r="S1530" s="61"/>
      <c r="T1530" s="61"/>
      <c r="U1530" s="61"/>
      <c r="V1530" s="61"/>
      <c r="W1530" s="61"/>
      <c r="X1530" s="61"/>
      <c r="Y1530" s="61"/>
      <c r="Z1530" s="61"/>
      <c r="AA1530" s="61"/>
      <c r="AB1530" s="61"/>
      <c r="AC1530" s="61"/>
    </row>
    <row r="1531" ht="15.75" customHeight="1">
      <c r="A1531" s="61"/>
      <c r="B1531" s="61"/>
      <c r="C1531" s="61"/>
      <c r="D1531" s="61"/>
      <c r="E1531" s="61"/>
      <c r="F1531" s="61"/>
      <c r="G1531" s="61"/>
      <c r="H1531" s="61"/>
      <c r="I1531" s="61"/>
      <c r="J1531" s="61"/>
      <c r="K1531" s="61"/>
      <c r="L1531" s="61"/>
      <c r="M1531" s="61"/>
      <c r="N1531" s="61"/>
      <c r="O1531" s="61"/>
      <c r="P1531" s="61"/>
      <c r="Q1531" s="61"/>
      <c r="R1531" s="61"/>
      <c r="S1531" s="61"/>
      <c r="T1531" s="61"/>
      <c r="U1531" s="61"/>
      <c r="V1531" s="61"/>
      <c r="W1531" s="61"/>
      <c r="X1531" s="61"/>
      <c r="Y1531" s="61"/>
      <c r="Z1531" s="61"/>
      <c r="AA1531" s="61"/>
      <c r="AB1531" s="61"/>
      <c r="AC1531" s="61"/>
    </row>
    <row r="1532" ht="15.75" customHeight="1">
      <c r="A1532" s="61"/>
      <c r="B1532" s="61"/>
      <c r="C1532" s="61"/>
      <c r="D1532" s="61"/>
      <c r="E1532" s="61"/>
      <c r="F1532" s="61"/>
      <c r="G1532" s="61"/>
      <c r="H1532" s="61"/>
      <c r="I1532" s="61"/>
      <c r="J1532" s="61"/>
      <c r="K1532" s="61"/>
      <c r="L1532" s="61"/>
      <c r="M1532" s="61"/>
      <c r="N1532" s="61"/>
      <c r="O1532" s="61"/>
      <c r="P1532" s="61"/>
      <c r="Q1532" s="61"/>
      <c r="R1532" s="61"/>
      <c r="S1532" s="61"/>
      <c r="T1532" s="61"/>
      <c r="U1532" s="61"/>
      <c r="V1532" s="61"/>
      <c r="W1532" s="61"/>
      <c r="X1532" s="61"/>
      <c r="Y1532" s="61"/>
      <c r="Z1532" s="61"/>
      <c r="AA1532" s="61"/>
      <c r="AB1532" s="61"/>
      <c r="AC1532" s="61"/>
    </row>
    <row r="1533" ht="15.75" customHeight="1">
      <c r="A1533" s="61"/>
      <c r="B1533" s="61"/>
      <c r="C1533" s="61"/>
      <c r="D1533" s="61"/>
      <c r="E1533" s="61"/>
      <c r="F1533" s="61"/>
      <c r="G1533" s="61"/>
      <c r="H1533" s="61"/>
      <c r="I1533" s="61"/>
      <c r="J1533" s="61"/>
      <c r="K1533" s="61"/>
      <c r="L1533" s="61"/>
      <c r="M1533" s="61"/>
      <c r="N1533" s="61"/>
      <c r="O1533" s="61"/>
      <c r="P1533" s="61"/>
      <c r="Q1533" s="61"/>
      <c r="R1533" s="61"/>
      <c r="S1533" s="61"/>
      <c r="T1533" s="61"/>
      <c r="U1533" s="61"/>
      <c r="V1533" s="61"/>
      <c r="W1533" s="61"/>
      <c r="X1533" s="61"/>
      <c r="Y1533" s="61"/>
      <c r="Z1533" s="61"/>
      <c r="AA1533" s="61"/>
      <c r="AB1533" s="61"/>
      <c r="AC1533" s="61"/>
    </row>
    <row r="1534" ht="15.75" customHeight="1">
      <c r="A1534" s="61"/>
      <c r="B1534" s="61"/>
      <c r="C1534" s="61"/>
      <c r="D1534" s="61"/>
      <c r="E1534" s="61"/>
      <c r="F1534" s="61"/>
      <c r="G1534" s="61"/>
      <c r="H1534" s="61"/>
      <c r="I1534" s="61"/>
      <c r="J1534" s="61"/>
      <c r="K1534" s="61"/>
      <c r="L1534" s="61"/>
      <c r="M1534" s="61"/>
      <c r="N1534" s="61"/>
      <c r="O1534" s="61"/>
      <c r="P1534" s="61"/>
      <c r="Q1534" s="61"/>
      <c r="R1534" s="61"/>
      <c r="S1534" s="61"/>
      <c r="T1534" s="61"/>
      <c r="U1534" s="61"/>
      <c r="V1534" s="61"/>
      <c r="W1534" s="61"/>
      <c r="X1534" s="61"/>
      <c r="Y1534" s="61"/>
      <c r="Z1534" s="61"/>
      <c r="AA1534" s="61"/>
      <c r="AB1534" s="61"/>
      <c r="AC1534" s="61"/>
    </row>
    <row r="1535" ht="15.75" customHeight="1">
      <c r="A1535" s="61"/>
      <c r="B1535" s="61"/>
      <c r="C1535" s="61"/>
      <c r="D1535" s="61"/>
      <c r="E1535" s="61"/>
      <c r="F1535" s="61"/>
      <c r="G1535" s="61"/>
      <c r="H1535" s="61"/>
      <c r="I1535" s="61"/>
      <c r="J1535" s="61"/>
      <c r="K1535" s="61"/>
      <c r="L1535" s="61"/>
      <c r="M1535" s="61"/>
      <c r="N1535" s="61"/>
      <c r="O1535" s="61"/>
      <c r="P1535" s="61"/>
      <c r="Q1535" s="61"/>
      <c r="R1535" s="61"/>
      <c r="S1535" s="61"/>
      <c r="T1535" s="61"/>
      <c r="U1535" s="61"/>
      <c r="V1535" s="61"/>
      <c r="W1535" s="61"/>
      <c r="X1535" s="61"/>
      <c r="Y1535" s="61"/>
      <c r="Z1535" s="61"/>
      <c r="AA1535" s="61"/>
      <c r="AB1535" s="61"/>
      <c r="AC1535" s="61"/>
    </row>
    <row r="1536" ht="15.75" customHeight="1">
      <c r="A1536" s="61"/>
      <c r="B1536" s="61"/>
      <c r="C1536" s="61"/>
      <c r="D1536" s="61"/>
      <c r="E1536" s="61"/>
      <c r="F1536" s="61"/>
      <c r="G1536" s="61"/>
      <c r="H1536" s="61"/>
      <c r="I1536" s="61"/>
      <c r="J1536" s="61"/>
      <c r="K1536" s="61"/>
      <c r="L1536" s="61"/>
      <c r="M1536" s="61"/>
      <c r="N1536" s="61"/>
      <c r="O1536" s="61"/>
      <c r="P1536" s="61"/>
      <c r="Q1536" s="61"/>
      <c r="R1536" s="61"/>
      <c r="S1536" s="61"/>
      <c r="T1536" s="61"/>
      <c r="U1536" s="61"/>
      <c r="V1536" s="61"/>
      <c r="W1536" s="61"/>
      <c r="X1536" s="61"/>
      <c r="Y1536" s="61"/>
      <c r="Z1536" s="61"/>
      <c r="AA1536" s="61"/>
      <c r="AB1536" s="61"/>
      <c r="AC1536" s="61"/>
    </row>
    <row r="1537" ht="15.75" customHeight="1">
      <c r="A1537" s="61"/>
      <c r="B1537" s="61"/>
      <c r="C1537" s="61"/>
      <c r="D1537" s="61"/>
      <c r="E1537" s="61"/>
      <c r="F1537" s="61"/>
      <c r="G1537" s="61"/>
      <c r="H1537" s="61"/>
      <c r="I1537" s="61"/>
      <c r="J1537" s="61"/>
      <c r="K1537" s="61"/>
      <c r="L1537" s="61"/>
      <c r="M1537" s="61"/>
      <c r="N1537" s="61"/>
      <c r="O1537" s="61"/>
      <c r="P1537" s="61"/>
      <c r="Q1537" s="61"/>
      <c r="R1537" s="61"/>
      <c r="S1537" s="61"/>
      <c r="T1537" s="61"/>
      <c r="U1537" s="61"/>
      <c r="V1537" s="61"/>
      <c r="W1537" s="61"/>
      <c r="X1537" s="61"/>
      <c r="Y1537" s="61"/>
      <c r="Z1537" s="61"/>
      <c r="AA1537" s="61"/>
      <c r="AB1537" s="61"/>
      <c r="AC1537" s="61"/>
    </row>
    <row r="1538" ht="15.75" customHeight="1">
      <c r="A1538" s="61"/>
      <c r="B1538" s="61"/>
      <c r="C1538" s="61"/>
      <c r="D1538" s="61"/>
      <c r="E1538" s="61"/>
      <c r="F1538" s="61"/>
      <c r="G1538" s="61"/>
      <c r="H1538" s="61"/>
      <c r="I1538" s="61"/>
      <c r="J1538" s="61"/>
      <c r="K1538" s="61"/>
      <c r="L1538" s="61"/>
      <c r="M1538" s="61"/>
      <c r="N1538" s="61"/>
      <c r="O1538" s="61"/>
      <c r="P1538" s="61"/>
      <c r="Q1538" s="61"/>
      <c r="R1538" s="61"/>
      <c r="S1538" s="61"/>
      <c r="T1538" s="61"/>
      <c r="U1538" s="61"/>
      <c r="V1538" s="61"/>
      <c r="W1538" s="61"/>
      <c r="X1538" s="61"/>
      <c r="Y1538" s="61"/>
      <c r="Z1538" s="61"/>
      <c r="AA1538" s="61"/>
      <c r="AB1538" s="61"/>
      <c r="AC1538" s="61"/>
    </row>
    <row r="1539" ht="15.75" customHeight="1">
      <c r="A1539" s="61"/>
      <c r="B1539" s="61"/>
      <c r="C1539" s="61"/>
      <c r="D1539" s="61"/>
      <c r="E1539" s="61"/>
      <c r="F1539" s="61"/>
      <c r="G1539" s="61"/>
      <c r="H1539" s="61"/>
      <c r="I1539" s="61"/>
      <c r="J1539" s="61"/>
      <c r="K1539" s="61"/>
      <c r="L1539" s="61"/>
      <c r="M1539" s="61"/>
      <c r="N1539" s="61"/>
      <c r="O1539" s="61"/>
      <c r="P1539" s="61"/>
      <c r="Q1539" s="61"/>
      <c r="R1539" s="61"/>
      <c r="S1539" s="61"/>
      <c r="T1539" s="61"/>
      <c r="U1539" s="61"/>
      <c r="V1539" s="61"/>
      <c r="W1539" s="61"/>
      <c r="X1539" s="61"/>
      <c r="Y1539" s="61"/>
      <c r="Z1539" s="61"/>
      <c r="AA1539" s="61"/>
      <c r="AB1539" s="61"/>
      <c r="AC1539" s="61"/>
    </row>
    <row r="1540" ht="15.75" customHeight="1">
      <c r="A1540" s="61"/>
      <c r="B1540" s="61"/>
      <c r="C1540" s="61"/>
      <c r="D1540" s="61"/>
      <c r="E1540" s="61"/>
      <c r="F1540" s="61"/>
      <c r="G1540" s="61"/>
      <c r="H1540" s="61"/>
      <c r="I1540" s="61"/>
      <c r="J1540" s="61"/>
      <c r="K1540" s="61"/>
      <c r="L1540" s="61"/>
      <c r="M1540" s="61"/>
      <c r="N1540" s="61"/>
      <c r="O1540" s="61"/>
      <c r="P1540" s="61"/>
      <c r="Q1540" s="61"/>
      <c r="R1540" s="61"/>
      <c r="S1540" s="61"/>
      <c r="T1540" s="61"/>
      <c r="U1540" s="61"/>
      <c r="V1540" s="61"/>
      <c r="W1540" s="61"/>
      <c r="X1540" s="61"/>
      <c r="Y1540" s="61"/>
      <c r="Z1540" s="61"/>
      <c r="AA1540" s="61"/>
      <c r="AB1540" s="61"/>
      <c r="AC1540" s="61"/>
    </row>
    <row r="1541" ht="15.75" customHeight="1">
      <c r="A1541" s="61"/>
      <c r="B1541" s="61"/>
      <c r="C1541" s="61"/>
      <c r="D1541" s="61"/>
      <c r="E1541" s="61"/>
      <c r="F1541" s="61"/>
      <c r="G1541" s="61"/>
      <c r="H1541" s="61"/>
      <c r="I1541" s="61"/>
      <c r="J1541" s="61"/>
      <c r="K1541" s="61"/>
      <c r="L1541" s="61"/>
      <c r="M1541" s="61"/>
      <c r="N1541" s="61"/>
      <c r="O1541" s="61"/>
      <c r="P1541" s="61"/>
      <c r="Q1541" s="61"/>
      <c r="R1541" s="61"/>
      <c r="S1541" s="61"/>
      <c r="T1541" s="61"/>
      <c r="U1541" s="61"/>
      <c r="V1541" s="61"/>
      <c r="W1541" s="61"/>
      <c r="X1541" s="61"/>
      <c r="Y1541" s="61"/>
      <c r="Z1541" s="61"/>
      <c r="AA1541" s="61"/>
      <c r="AB1541" s="61"/>
      <c r="AC1541" s="61"/>
    </row>
    <row r="1542" ht="15.75" customHeight="1">
      <c r="A1542" s="61"/>
      <c r="B1542" s="61"/>
      <c r="C1542" s="61"/>
      <c r="D1542" s="61"/>
      <c r="E1542" s="61"/>
      <c r="F1542" s="61"/>
      <c r="G1542" s="61"/>
      <c r="H1542" s="61"/>
      <c r="I1542" s="61"/>
      <c r="J1542" s="61"/>
      <c r="K1542" s="61"/>
      <c r="L1542" s="61"/>
      <c r="M1542" s="61"/>
      <c r="N1542" s="61"/>
      <c r="O1542" s="61"/>
      <c r="P1542" s="61"/>
      <c r="Q1542" s="61"/>
      <c r="R1542" s="61"/>
      <c r="S1542" s="61"/>
      <c r="T1542" s="61"/>
      <c r="U1542" s="61"/>
      <c r="V1542" s="61"/>
      <c r="W1542" s="61"/>
      <c r="X1542" s="61"/>
      <c r="Y1542" s="61"/>
      <c r="Z1542" s="61"/>
      <c r="AA1542" s="61"/>
      <c r="AB1542" s="61"/>
      <c r="AC1542" s="61"/>
    </row>
    <row r="1543" ht="15.75" customHeight="1">
      <c r="A1543" s="61"/>
      <c r="B1543" s="61"/>
      <c r="C1543" s="61"/>
      <c r="D1543" s="61"/>
      <c r="E1543" s="61"/>
      <c r="F1543" s="61"/>
      <c r="G1543" s="61"/>
      <c r="H1543" s="61"/>
      <c r="I1543" s="61"/>
      <c r="J1543" s="61"/>
      <c r="K1543" s="61"/>
      <c r="L1543" s="61"/>
      <c r="M1543" s="61"/>
      <c r="N1543" s="61"/>
      <c r="O1543" s="61"/>
      <c r="P1543" s="61"/>
      <c r="Q1543" s="61"/>
      <c r="R1543" s="61"/>
      <c r="S1543" s="61"/>
      <c r="T1543" s="61"/>
      <c r="U1543" s="61"/>
      <c r="V1543" s="61"/>
      <c r="W1543" s="61"/>
      <c r="X1543" s="61"/>
      <c r="Y1543" s="61"/>
      <c r="Z1543" s="61"/>
      <c r="AA1543" s="61"/>
      <c r="AB1543" s="61"/>
      <c r="AC1543" s="61"/>
    </row>
    <row r="1544" ht="15.75" customHeight="1">
      <c r="A1544" s="61"/>
      <c r="B1544" s="61"/>
      <c r="C1544" s="61"/>
      <c r="D1544" s="61"/>
      <c r="E1544" s="61"/>
      <c r="F1544" s="61"/>
      <c r="G1544" s="61"/>
      <c r="H1544" s="61"/>
      <c r="I1544" s="61"/>
      <c r="J1544" s="61"/>
      <c r="K1544" s="61"/>
      <c r="L1544" s="61"/>
      <c r="M1544" s="61"/>
      <c r="N1544" s="61"/>
      <c r="O1544" s="61"/>
      <c r="P1544" s="61"/>
      <c r="Q1544" s="61"/>
      <c r="R1544" s="61"/>
      <c r="S1544" s="61"/>
      <c r="T1544" s="61"/>
      <c r="U1544" s="61"/>
      <c r="V1544" s="61"/>
      <c r="W1544" s="61"/>
      <c r="X1544" s="61"/>
      <c r="Y1544" s="61"/>
      <c r="Z1544" s="61"/>
      <c r="AA1544" s="61"/>
      <c r="AB1544" s="61"/>
      <c r="AC1544" s="61"/>
    </row>
    <row r="1545" ht="15.75" customHeight="1">
      <c r="A1545" s="61"/>
      <c r="B1545" s="61"/>
      <c r="C1545" s="61"/>
      <c r="D1545" s="61"/>
      <c r="E1545" s="61"/>
      <c r="F1545" s="61"/>
      <c r="G1545" s="61"/>
      <c r="H1545" s="61"/>
      <c r="I1545" s="61"/>
      <c r="J1545" s="61"/>
      <c r="K1545" s="61"/>
      <c r="L1545" s="61"/>
      <c r="M1545" s="61"/>
      <c r="N1545" s="61"/>
      <c r="O1545" s="61"/>
      <c r="P1545" s="61"/>
      <c r="Q1545" s="61"/>
      <c r="R1545" s="61"/>
      <c r="S1545" s="61"/>
      <c r="T1545" s="61"/>
      <c r="U1545" s="61"/>
      <c r="V1545" s="61"/>
      <c r="W1545" s="61"/>
      <c r="X1545" s="61"/>
      <c r="Y1545" s="61"/>
      <c r="Z1545" s="61"/>
      <c r="AA1545" s="61"/>
      <c r="AB1545" s="61"/>
      <c r="AC1545" s="61"/>
    </row>
    <row r="1546" ht="15.75" customHeight="1">
      <c r="A1546" s="61"/>
      <c r="B1546" s="61"/>
      <c r="C1546" s="61"/>
      <c r="D1546" s="61"/>
      <c r="E1546" s="61"/>
      <c r="F1546" s="61"/>
      <c r="G1546" s="61"/>
      <c r="H1546" s="61"/>
      <c r="I1546" s="61"/>
      <c r="J1546" s="61"/>
      <c r="K1546" s="61"/>
      <c r="L1546" s="61"/>
      <c r="M1546" s="61"/>
      <c r="N1546" s="61"/>
      <c r="O1546" s="61"/>
      <c r="P1546" s="61"/>
      <c r="Q1546" s="61"/>
      <c r="R1546" s="61"/>
      <c r="S1546" s="61"/>
      <c r="T1546" s="61"/>
      <c r="U1546" s="61"/>
      <c r="V1546" s="61"/>
      <c r="W1546" s="61"/>
      <c r="X1546" s="61"/>
      <c r="Y1546" s="61"/>
      <c r="Z1546" s="61"/>
      <c r="AA1546" s="61"/>
      <c r="AB1546" s="61"/>
      <c r="AC1546" s="61"/>
    </row>
    <row r="1547" ht="15.75" customHeight="1">
      <c r="A1547" s="61"/>
      <c r="B1547" s="61"/>
      <c r="C1547" s="61"/>
      <c r="D1547" s="61"/>
      <c r="E1547" s="61"/>
      <c r="F1547" s="61"/>
      <c r="G1547" s="61"/>
      <c r="H1547" s="61"/>
      <c r="I1547" s="61"/>
      <c r="J1547" s="61"/>
      <c r="K1547" s="61"/>
      <c r="L1547" s="61"/>
      <c r="M1547" s="61"/>
      <c r="N1547" s="61"/>
      <c r="O1547" s="61"/>
      <c r="P1547" s="61"/>
      <c r="Q1547" s="61"/>
      <c r="R1547" s="61"/>
      <c r="S1547" s="61"/>
      <c r="T1547" s="61"/>
      <c r="U1547" s="61"/>
      <c r="V1547" s="61"/>
      <c r="W1547" s="61"/>
      <c r="X1547" s="61"/>
      <c r="Y1547" s="61"/>
      <c r="Z1547" s="61"/>
      <c r="AA1547" s="61"/>
      <c r="AB1547" s="61"/>
      <c r="AC1547" s="61"/>
    </row>
    <row r="1548" ht="15.75" customHeight="1">
      <c r="A1548" s="61"/>
      <c r="B1548" s="61"/>
      <c r="C1548" s="61"/>
      <c r="D1548" s="61"/>
      <c r="E1548" s="61"/>
      <c r="F1548" s="61"/>
      <c r="G1548" s="61"/>
      <c r="H1548" s="61"/>
      <c r="I1548" s="61"/>
      <c r="J1548" s="61"/>
      <c r="K1548" s="61"/>
      <c r="L1548" s="61"/>
      <c r="M1548" s="61"/>
      <c r="N1548" s="61"/>
      <c r="O1548" s="61"/>
      <c r="P1548" s="61"/>
      <c r="Q1548" s="61"/>
      <c r="R1548" s="61"/>
      <c r="S1548" s="61"/>
      <c r="T1548" s="61"/>
      <c r="U1548" s="61"/>
      <c r="V1548" s="61"/>
      <c r="W1548" s="61"/>
      <c r="X1548" s="61"/>
      <c r="Y1548" s="61"/>
      <c r="Z1548" s="61"/>
      <c r="AA1548" s="61"/>
      <c r="AB1548" s="61"/>
      <c r="AC1548" s="61"/>
    </row>
    <row r="1549" ht="15.75" customHeight="1">
      <c r="A1549" s="61"/>
      <c r="B1549" s="61"/>
      <c r="C1549" s="61"/>
      <c r="D1549" s="61"/>
      <c r="E1549" s="61"/>
      <c r="F1549" s="61"/>
      <c r="G1549" s="61"/>
      <c r="H1549" s="61"/>
      <c r="I1549" s="61"/>
      <c r="J1549" s="61"/>
      <c r="K1549" s="61"/>
      <c r="L1549" s="61"/>
      <c r="M1549" s="61"/>
      <c r="N1549" s="61"/>
      <c r="O1549" s="61"/>
      <c r="P1549" s="61"/>
      <c r="Q1549" s="61"/>
      <c r="R1549" s="61"/>
      <c r="S1549" s="61"/>
      <c r="T1549" s="61"/>
      <c r="U1549" s="61"/>
      <c r="V1549" s="61"/>
      <c r="W1549" s="61"/>
      <c r="X1549" s="61"/>
      <c r="Y1549" s="61"/>
      <c r="Z1549" s="61"/>
      <c r="AA1549" s="61"/>
      <c r="AB1549" s="61"/>
      <c r="AC1549" s="61"/>
    </row>
    <row r="1550" ht="15.75" customHeight="1">
      <c r="A1550" s="61"/>
      <c r="B1550" s="61"/>
      <c r="C1550" s="61"/>
      <c r="D1550" s="61"/>
      <c r="E1550" s="61"/>
      <c r="F1550" s="61"/>
      <c r="G1550" s="61"/>
      <c r="H1550" s="61"/>
      <c r="I1550" s="61"/>
      <c r="J1550" s="61"/>
      <c r="K1550" s="61"/>
      <c r="L1550" s="61"/>
      <c r="M1550" s="61"/>
      <c r="N1550" s="61"/>
      <c r="O1550" s="61"/>
      <c r="P1550" s="61"/>
      <c r="Q1550" s="61"/>
      <c r="R1550" s="61"/>
      <c r="S1550" s="61"/>
      <c r="T1550" s="61"/>
      <c r="U1550" s="61"/>
      <c r="V1550" s="61"/>
      <c r="W1550" s="61"/>
      <c r="X1550" s="61"/>
      <c r="Y1550" s="61"/>
      <c r="Z1550" s="61"/>
      <c r="AA1550" s="61"/>
      <c r="AB1550" s="61"/>
      <c r="AC1550" s="61"/>
    </row>
    <row r="1551" ht="15.75" customHeight="1">
      <c r="A1551" s="61"/>
      <c r="B1551" s="61"/>
      <c r="C1551" s="61"/>
      <c r="D1551" s="61"/>
      <c r="E1551" s="61"/>
      <c r="F1551" s="61"/>
      <c r="G1551" s="61"/>
      <c r="H1551" s="61"/>
      <c r="I1551" s="61"/>
      <c r="J1551" s="61"/>
      <c r="K1551" s="61"/>
      <c r="L1551" s="61"/>
      <c r="M1551" s="61"/>
      <c r="N1551" s="61"/>
      <c r="O1551" s="61"/>
      <c r="P1551" s="61"/>
      <c r="Q1551" s="61"/>
      <c r="R1551" s="61"/>
      <c r="S1551" s="61"/>
      <c r="T1551" s="61"/>
      <c r="U1551" s="61"/>
      <c r="V1551" s="61"/>
      <c r="W1551" s="61"/>
      <c r="X1551" s="61"/>
      <c r="Y1551" s="61"/>
      <c r="Z1551" s="61"/>
      <c r="AA1551" s="61"/>
      <c r="AB1551" s="61"/>
      <c r="AC1551" s="61"/>
    </row>
    <row r="1552" ht="15.75" customHeight="1">
      <c r="A1552" s="61"/>
      <c r="B1552" s="61"/>
      <c r="C1552" s="61"/>
      <c r="D1552" s="61"/>
      <c r="E1552" s="61"/>
      <c r="F1552" s="61"/>
      <c r="G1552" s="61"/>
      <c r="H1552" s="61"/>
      <c r="I1552" s="61"/>
      <c r="J1552" s="61"/>
      <c r="K1552" s="61"/>
      <c r="L1552" s="61"/>
      <c r="M1552" s="61"/>
      <c r="N1552" s="61"/>
      <c r="O1552" s="61"/>
      <c r="P1552" s="61"/>
      <c r="Q1552" s="61"/>
      <c r="R1552" s="61"/>
      <c r="S1552" s="61"/>
      <c r="T1552" s="61"/>
      <c r="U1552" s="61"/>
      <c r="V1552" s="61"/>
      <c r="W1552" s="61"/>
      <c r="X1552" s="61"/>
      <c r="Y1552" s="61"/>
      <c r="Z1552" s="61"/>
      <c r="AA1552" s="61"/>
      <c r="AB1552" s="61"/>
      <c r="AC1552" s="61"/>
    </row>
    <row r="1553" ht="15.75" customHeight="1">
      <c r="A1553" s="61"/>
      <c r="B1553" s="61"/>
      <c r="C1553" s="61"/>
      <c r="D1553" s="61"/>
      <c r="E1553" s="61"/>
      <c r="F1553" s="61"/>
      <c r="G1553" s="61"/>
      <c r="H1553" s="61"/>
      <c r="I1553" s="61"/>
      <c r="J1553" s="61"/>
      <c r="K1553" s="61"/>
      <c r="L1553" s="61"/>
      <c r="M1553" s="61"/>
      <c r="N1553" s="61"/>
      <c r="O1553" s="61"/>
      <c r="P1553" s="61"/>
      <c r="Q1553" s="61"/>
      <c r="R1553" s="61"/>
      <c r="S1553" s="61"/>
      <c r="T1553" s="61"/>
      <c r="U1553" s="61"/>
      <c r="V1553" s="61"/>
      <c r="W1553" s="61"/>
      <c r="X1553" s="61"/>
      <c r="Y1553" s="61"/>
      <c r="Z1553" s="61"/>
      <c r="AA1553" s="61"/>
      <c r="AB1553" s="61"/>
      <c r="AC1553" s="61"/>
    </row>
    <row r="1554" ht="15.75" customHeight="1">
      <c r="A1554" s="61"/>
      <c r="B1554" s="61"/>
      <c r="C1554" s="61"/>
      <c r="D1554" s="61"/>
      <c r="E1554" s="61"/>
      <c r="F1554" s="61"/>
      <c r="G1554" s="61"/>
      <c r="H1554" s="61"/>
      <c r="I1554" s="61"/>
      <c r="J1554" s="61"/>
      <c r="K1554" s="61"/>
      <c r="L1554" s="61"/>
      <c r="M1554" s="61"/>
      <c r="N1554" s="61"/>
      <c r="O1554" s="61"/>
      <c r="P1554" s="61"/>
      <c r="Q1554" s="61"/>
      <c r="R1554" s="61"/>
      <c r="S1554" s="61"/>
      <c r="T1554" s="61"/>
      <c r="U1554" s="61"/>
      <c r="V1554" s="61"/>
      <c r="W1554" s="61"/>
      <c r="X1554" s="61"/>
      <c r="Y1554" s="61"/>
      <c r="Z1554" s="61"/>
      <c r="AA1554" s="61"/>
      <c r="AB1554" s="61"/>
      <c r="AC1554" s="61"/>
    </row>
    <row r="1555" ht="15.75" customHeight="1">
      <c r="A1555" s="61"/>
      <c r="B1555" s="61"/>
      <c r="C1555" s="61"/>
      <c r="D1555" s="61"/>
      <c r="E1555" s="61"/>
      <c r="F1555" s="61"/>
      <c r="G1555" s="61"/>
      <c r="H1555" s="61"/>
      <c r="I1555" s="61"/>
      <c r="J1555" s="61"/>
      <c r="K1555" s="61"/>
      <c r="L1555" s="61"/>
      <c r="M1555" s="61"/>
      <c r="N1555" s="61"/>
      <c r="O1555" s="61"/>
      <c r="P1555" s="61"/>
      <c r="Q1555" s="61"/>
      <c r="R1555" s="61"/>
      <c r="S1555" s="61"/>
      <c r="T1555" s="61"/>
      <c r="U1555" s="61"/>
      <c r="V1555" s="61"/>
      <c r="W1555" s="61"/>
      <c r="X1555" s="61"/>
      <c r="Y1555" s="61"/>
      <c r="Z1555" s="61"/>
      <c r="AA1555" s="61"/>
      <c r="AB1555" s="61"/>
      <c r="AC1555" s="61"/>
    </row>
    <row r="1556" ht="15.75" customHeight="1">
      <c r="A1556" s="61"/>
      <c r="B1556" s="61"/>
      <c r="C1556" s="61"/>
      <c r="D1556" s="61"/>
      <c r="E1556" s="61"/>
      <c r="F1556" s="61"/>
      <c r="G1556" s="61"/>
      <c r="H1556" s="61"/>
      <c r="I1556" s="61"/>
      <c r="J1556" s="61"/>
      <c r="K1556" s="61"/>
      <c r="L1556" s="61"/>
      <c r="M1556" s="61"/>
      <c r="N1556" s="61"/>
      <c r="O1556" s="61"/>
      <c r="P1556" s="61"/>
      <c r="Q1556" s="61"/>
      <c r="R1556" s="61"/>
      <c r="S1556" s="61"/>
      <c r="T1556" s="61"/>
      <c r="U1556" s="61"/>
      <c r="V1556" s="61"/>
      <c r="W1556" s="61"/>
      <c r="X1556" s="61"/>
      <c r="Y1556" s="61"/>
      <c r="Z1556" s="61"/>
      <c r="AA1556" s="61"/>
      <c r="AB1556" s="61"/>
      <c r="AC1556" s="61"/>
    </row>
    <row r="1557" ht="15.75" customHeight="1">
      <c r="A1557" s="61"/>
      <c r="B1557" s="61"/>
      <c r="C1557" s="61"/>
      <c r="D1557" s="61"/>
      <c r="E1557" s="61"/>
      <c r="F1557" s="61"/>
      <c r="G1557" s="61"/>
      <c r="H1557" s="61"/>
      <c r="I1557" s="61"/>
      <c r="J1557" s="61"/>
      <c r="K1557" s="61"/>
      <c r="L1557" s="61"/>
      <c r="M1557" s="61"/>
      <c r="N1557" s="61"/>
      <c r="O1557" s="61"/>
      <c r="P1557" s="61"/>
      <c r="Q1557" s="61"/>
      <c r="R1557" s="61"/>
      <c r="S1557" s="61"/>
      <c r="T1557" s="61"/>
      <c r="U1557" s="61"/>
      <c r="V1557" s="61"/>
      <c r="W1557" s="61"/>
      <c r="X1557" s="61"/>
      <c r="Y1557" s="61"/>
      <c r="Z1557" s="61"/>
      <c r="AA1557" s="61"/>
      <c r="AB1557" s="61"/>
      <c r="AC1557" s="61"/>
    </row>
    <row r="1558" ht="15.75" customHeight="1">
      <c r="A1558" s="61"/>
      <c r="B1558" s="61"/>
      <c r="C1558" s="61"/>
      <c r="D1558" s="61"/>
      <c r="E1558" s="61"/>
      <c r="F1558" s="61"/>
      <c r="G1558" s="61"/>
      <c r="H1558" s="61"/>
      <c r="I1558" s="61"/>
      <c r="J1558" s="61"/>
      <c r="K1558" s="61"/>
      <c r="L1558" s="61"/>
      <c r="M1558" s="61"/>
      <c r="N1558" s="61"/>
      <c r="O1558" s="61"/>
      <c r="P1558" s="61"/>
      <c r="Q1558" s="61"/>
      <c r="R1558" s="61"/>
      <c r="S1558" s="61"/>
      <c r="T1558" s="61"/>
      <c r="U1558" s="61"/>
      <c r="V1558" s="61"/>
      <c r="W1558" s="61"/>
      <c r="X1558" s="61"/>
      <c r="Y1558" s="61"/>
      <c r="Z1558" s="61"/>
      <c r="AA1558" s="61"/>
      <c r="AB1558" s="61"/>
      <c r="AC1558" s="61"/>
    </row>
    <row r="1559" ht="15.75" customHeight="1">
      <c r="A1559" s="61"/>
      <c r="B1559" s="61"/>
      <c r="C1559" s="61"/>
      <c r="D1559" s="61"/>
      <c r="E1559" s="61"/>
      <c r="F1559" s="61"/>
      <c r="G1559" s="61"/>
      <c r="H1559" s="61"/>
      <c r="I1559" s="61"/>
      <c r="J1559" s="61"/>
      <c r="K1559" s="61"/>
      <c r="L1559" s="61"/>
      <c r="M1559" s="61"/>
      <c r="N1559" s="61"/>
      <c r="O1559" s="61"/>
      <c r="P1559" s="61"/>
      <c r="Q1559" s="61"/>
      <c r="R1559" s="61"/>
      <c r="S1559" s="61"/>
      <c r="T1559" s="61"/>
      <c r="U1559" s="61"/>
      <c r="V1559" s="61"/>
      <c r="W1559" s="61"/>
      <c r="X1559" s="61"/>
      <c r="Y1559" s="61"/>
      <c r="Z1559" s="61"/>
      <c r="AA1559" s="61"/>
      <c r="AB1559" s="61"/>
      <c r="AC1559" s="61"/>
    </row>
    <row r="1560" ht="15.75" customHeight="1">
      <c r="A1560" s="61"/>
      <c r="B1560" s="61"/>
      <c r="C1560" s="61"/>
      <c r="D1560" s="61"/>
      <c r="E1560" s="61"/>
      <c r="F1560" s="61"/>
      <c r="G1560" s="61"/>
      <c r="H1560" s="61"/>
      <c r="I1560" s="61"/>
      <c r="J1560" s="61"/>
      <c r="K1560" s="61"/>
      <c r="L1560" s="61"/>
      <c r="M1560" s="61"/>
      <c r="N1560" s="61"/>
      <c r="O1560" s="61"/>
      <c r="P1560" s="61"/>
      <c r="Q1560" s="61"/>
      <c r="R1560" s="61"/>
      <c r="S1560" s="61"/>
      <c r="T1560" s="61"/>
      <c r="U1560" s="61"/>
      <c r="V1560" s="61"/>
      <c r="W1560" s="61"/>
      <c r="X1560" s="61"/>
      <c r="Y1560" s="61"/>
      <c r="Z1560" s="61"/>
      <c r="AA1560" s="61"/>
      <c r="AB1560" s="61"/>
      <c r="AC1560" s="61"/>
    </row>
    <row r="1561" ht="15.75" customHeight="1">
      <c r="A1561" s="61"/>
      <c r="B1561" s="61"/>
      <c r="C1561" s="61"/>
      <c r="D1561" s="61"/>
      <c r="E1561" s="61"/>
      <c r="F1561" s="61"/>
      <c r="G1561" s="61"/>
      <c r="H1561" s="61"/>
      <c r="I1561" s="61"/>
      <c r="J1561" s="61"/>
      <c r="K1561" s="61"/>
      <c r="L1561" s="61"/>
      <c r="M1561" s="61"/>
      <c r="N1561" s="61"/>
      <c r="O1561" s="61"/>
      <c r="P1561" s="61"/>
      <c r="Q1561" s="61"/>
      <c r="R1561" s="61"/>
      <c r="S1561" s="61"/>
      <c r="T1561" s="61"/>
      <c r="U1561" s="61"/>
      <c r="V1561" s="61"/>
      <c r="W1561" s="61"/>
      <c r="X1561" s="61"/>
      <c r="Y1561" s="61"/>
      <c r="Z1561" s="61"/>
      <c r="AA1561" s="61"/>
      <c r="AB1561" s="61"/>
      <c r="AC1561" s="61"/>
    </row>
    <row r="1562" ht="15.75" customHeight="1">
      <c r="A1562" s="61"/>
      <c r="B1562" s="61"/>
      <c r="C1562" s="61"/>
      <c r="D1562" s="61"/>
      <c r="E1562" s="61"/>
      <c r="F1562" s="61"/>
      <c r="G1562" s="61"/>
      <c r="H1562" s="61"/>
      <c r="I1562" s="61"/>
      <c r="J1562" s="61"/>
      <c r="K1562" s="61"/>
      <c r="L1562" s="61"/>
      <c r="M1562" s="61"/>
      <c r="N1562" s="61"/>
      <c r="O1562" s="61"/>
      <c r="P1562" s="61"/>
      <c r="Q1562" s="61"/>
      <c r="R1562" s="61"/>
      <c r="S1562" s="61"/>
      <c r="T1562" s="61"/>
      <c r="U1562" s="61"/>
      <c r="V1562" s="61"/>
      <c r="W1562" s="61"/>
      <c r="X1562" s="61"/>
      <c r="Y1562" s="61"/>
      <c r="Z1562" s="61"/>
      <c r="AA1562" s="61"/>
      <c r="AB1562" s="61"/>
      <c r="AC1562" s="61"/>
    </row>
    <row r="1563" ht="15.75" customHeight="1">
      <c r="A1563" s="61"/>
      <c r="B1563" s="61"/>
      <c r="C1563" s="61"/>
      <c r="D1563" s="61"/>
      <c r="E1563" s="61"/>
      <c r="F1563" s="61"/>
      <c r="G1563" s="61"/>
      <c r="H1563" s="61"/>
      <c r="I1563" s="61"/>
      <c r="J1563" s="61"/>
      <c r="K1563" s="61"/>
      <c r="L1563" s="61"/>
      <c r="M1563" s="61"/>
      <c r="N1563" s="61"/>
      <c r="O1563" s="61"/>
      <c r="P1563" s="61"/>
      <c r="Q1563" s="61"/>
      <c r="R1563" s="61"/>
      <c r="S1563" s="61"/>
      <c r="T1563" s="61"/>
      <c r="U1563" s="61"/>
      <c r="V1563" s="61"/>
      <c r="W1563" s="61"/>
      <c r="X1563" s="61"/>
      <c r="Y1563" s="61"/>
      <c r="Z1563" s="61"/>
      <c r="AA1563" s="61"/>
      <c r="AB1563" s="61"/>
      <c r="AC1563" s="61"/>
    </row>
    <row r="1564" ht="15.75" customHeight="1">
      <c r="A1564" s="61"/>
      <c r="B1564" s="61"/>
      <c r="C1564" s="61"/>
      <c r="D1564" s="61"/>
      <c r="E1564" s="61"/>
      <c r="F1564" s="61"/>
      <c r="G1564" s="61"/>
      <c r="H1564" s="61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  <c r="S1564" s="61"/>
      <c r="T1564" s="61"/>
      <c r="U1564" s="61"/>
      <c r="V1564" s="61"/>
      <c r="W1564" s="61"/>
      <c r="X1564" s="61"/>
      <c r="Y1564" s="61"/>
      <c r="Z1564" s="61"/>
      <c r="AA1564" s="61"/>
      <c r="AB1564" s="61"/>
      <c r="AC1564" s="61"/>
    </row>
    <row r="1565" ht="15.75" customHeight="1">
      <c r="A1565" s="61"/>
      <c r="B1565" s="61"/>
      <c r="C1565" s="61"/>
      <c r="D1565" s="61"/>
      <c r="E1565" s="61"/>
      <c r="F1565" s="61"/>
      <c r="G1565" s="61"/>
      <c r="H1565" s="61"/>
      <c r="I1565" s="61"/>
      <c r="J1565" s="61"/>
      <c r="K1565" s="61"/>
      <c r="L1565" s="61"/>
      <c r="M1565" s="61"/>
      <c r="N1565" s="61"/>
      <c r="O1565" s="61"/>
      <c r="P1565" s="61"/>
      <c r="Q1565" s="61"/>
      <c r="R1565" s="61"/>
      <c r="S1565" s="61"/>
      <c r="T1565" s="61"/>
      <c r="U1565" s="61"/>
      <c r="V1565" s="61"/>
      <c r="W1565" s="61"/>
      <c r="X1565" s="61"/>
      <c r="Y1565" s="61"/>
      <c r="Z1565" s="61"/>
      <c r="AA1565" s="61"/>
      <c r="AB1565" s="61"/>
      <c r="AC1565" s="61"/>
    </row>
    <row r="1566" ht="15.75" customHeight="1">
      <c r="A1566" s="61"/>
      <c r="B1566" s="61"/>
      <c r="C1566" s="61"/>
      <c r="D1566" s="61"/>
      <c r="E1566" s="61"/>
      <c r="F1566" s="61"/>
      <c r="G1566" s="61"/>
      <c r="H1566" s="61"/>
      <c r="I1566" s="61"/>
      <c r="J1566" s="61"/>
      <c r="K1566" s="61"/>
      <c r="L1566" s="61"/>
      <c r="M1566" s="61"/>
      <c r="N1566" s="61"/>
      <c r="O1566" s="61"/>
      <c r="P1566" s="61"/>
      <c r="Q1566" s="61"/>
      <c r="R1566" s="61"/>
      <c r="S1566" s="61"/>
      <c r="T1566" s="61"/>
      <c r="U1566" s="61"/>
      <c r="V1566" s="61"/>
      <c r="W1566" s="61"/>
      <c r="X1566" s="61"/>
      <c r="Y1566" s="61"/>
      <c r="Z1566" s="61"/>
      <c r="AA1566" s="61"/>
      <c r="AB1566" s="61"/>
      <c r="AC1566" s="61"/>
    </row>
    <row r="1567" ht="15.75" customHeight="1">
      <c r="A1567" s="61"/>
      <c r="B1567" s="61"/>
      <c r="C1567" s="61"/>
      <c r="D1567" s="61"/>
      <c r="E1567" s="61"/>
      <c r="F1567" s="61"/>
      <c r="G1567" s="61"/>
      <c r="H1567" s="61"/>
      <c r="I1567" s="61"/>
      <c r="J1567" s="61"/>
      <c r="K1567" s="61"/>
      <c r="L1567" s="61"/>
      <c r="M1567" s="61"/>
      <c r="N1567" s="61"/>
      <c r="O1567" s="61"/>
      <c r="P1567" s="61"/>
      <c r="Q1567" s="61"/>
      <c r="R1567" s="61"/>
      <c r="S1567" s="61"/>
      <c r="T1567" s="61"/>
      <c r="U1567" s="61"/>
      <c r="V1567" s="61"/>
      <c r="W1567" s="61"/>
      <c r="X1567" s="61"/>
      <c r="Y1567" s="61"/>
      <c r="Z1567" s="61"/>
      <c r="AA1567" s="61"/>
      <c r="AB1567" s="61"/>
      <c r="AC1567" s="61"/>
    </row>
    <row r="1568" ht="15.75" customHeight="1">
      <c r="A1568" s="61"/>
      <c r="B1568" s="61"/>
      <c r="C1568" s="61"/>
      <c r="D1568" s="61"/>
      <c r="E1568" s="61"/>
      <c r="F1568" s="61"/>
      <c r="G1568" s="61"/>
      <c r="H1568" s="61"/>
      <c r="I1568" s="61"/>
      <c r="J1568" s="61"/>
      <c r="K1568" s="61"/>
      <c r="L1568" s="61"/>
      <c r="M1568" s="61"/>
      <c r="N1568" s="61"/>
      <c r="O1568" s="61"/>
      <c r="P1568" s="61"/>
      <c r="Q1568" s="61"/>
      <c r="R1568" s="61"/>
      <c r="S1568" s="61"/>
      <c r="T1568" s="61"/>
      <c r="U1568" s="61"/>
      <c r="V1568" s="61"/>
      <c r="W1568" s="61"/>
      <c r="X1568" s="61"/>
      <c r="Y1568" s="61"/>
      <c r="Z1568" s="61"/>
      <c r="AA1568" s="61"/>
      <c r="AB1568" s="61"/>
      <c r="AC1568" s="61"/>
    </row>
    <row r="1569" ht="15.75" customHeight="1">
      <c r="A1569" s="61"/>
      <c r="B1569" s="61"/>
      <c r="C1569" s="61"/>
      <c r="D1569" s="61"/>
      <c r="E1569" s="61"/>
      <c r="F1569" s="61"/>
      <c r="G1569" s="61"/>
      <c r="H1569" s="61"/>
      <c r="I1569" s="61"/>
      <c r="J1569" s="61"/>
      <c r="K1569" s="61"/>
      <c r="L1569" s="61"/>
      <c r="M1569" s="61"/>
      <c r="N1569" s="61"/>
      <c r="O1569" s="61"/>
      <c r="P1569" s="61"/>
      <c r="Q1569" s="61"/>
      <c r="R1569" s="61"/>
      <c r="S1569" s="61"/>
      <c r="T1569" s="61"/>
      <c r="U1569" s="61"/>
      <c r="V1569" s="61"/>
      <c r="W1569" s="61"/>
      <c r="X1569" s="61"/>
      <c r="Y1569" s="61"/>
      <c r="Z1569" s="61"/>
      <c r="AA1569" s="61"/>
      <c r="AB1569" s="61"/>
      <c r="AC1569" s="61"/>
    </row>
    <row r="1570" ht="15.75" customHeight="1">
      <c r="A1570" s="61"/>
      <c r="B1570" s="61"/>
      <c r="C1570" s="61"/>
      <c r="D1570" s="61"/>
      <c r="E1570" s="61"/>
      <c r="F1570" s="61"/>
      <c r="G1570" s="61"/>
      <c r="H1570" s="61"/>
      <c r="I1570" s="61"/>
      <c r="J1570" s="61"/>
      <c r="K1570" s="61"/>
      <c r="L1570" s="61"/>
      <c r="M1570" s="61"/>
      <c r="N1570" s="61"/>
      <c r="O1570" s="61"/>
      <c r="P1570" s="61"/>
      <c r="Q1570" s="61"/>
      <c r="R1570" s="61"/>
      <c r="S1570" s="61"/>
      <c r="T1570" s="61"/>
      <c r="U1570" s="61"/>
      <c r="V1570" s="61"/>
      <c r="W1570" s="61"/>
      <c r="X1570" s="61"/>
      <c r="Y1570" s="61"/>
      <c r="Z1570" s="61"/>
      <c r="AA1570" s="61"/>
      <c r="AB1570" s="61"/>
      <c r="AC1570" s="61"/>
    </row>
    <row r="1571" ht="15.75" customHeight="1">
      <c r="A1571" s="61"/>
      <c r="B1571" s="61"/>
      <c r="C1571" s="61"/>
      <c r="D1571" s="61"/>
      <c r="E1571" s="61"/>
      <c r="F1571" s="61"/>
      <c r="G1571" s="61"/>
      <c r="H1571" s="61"/>
      <c r="I1571" s="61"/>
      <c r="J1571" s="61"/>
      <c r="K1571" s="61"/>
      <c r="L1571" s="61"/>
      <c r="M1571" s="61"/>
      <c r="N1571" s="61"/>
      <c r="O1571" s="61"/>
      <c r="P1571" s="61"/>
      <c r="Q1571" s="61"/>
      <c r="R1571" s="61"/>
      <c r="S1571" s="61"/>
      <c r="T1571" s="61"/>
      <c r="U1571" s="61"/>
      <c r="V1571" s="61"/>
      <c r="W1571" s="61"/>
      <c r="X1571" s="61"/>
      <c r="Y1571" s="61"/>
      <c r="Z1571" s="61"/>
      <c r="AA1571" s="61"/>
      <c r="AB1571" s="61"/>
      <c r="AC1571" s="61"/>
    </row>
    <row r="1572" ht="15.75" customHeight="1">
      <c r="A1572" s="61"/>
      <c r="B1572" s="61"/>
      <c r="C1572" s="61"/>
      <c r="D1572" s="61"/>
      <c r="E1572" s="61"/>
      <c r="F1572" s="61"/>
      <c r="G1572" s="61"/>
      <c r="H1572" s="61"/>
      <c r="I1572" s="61"/>
      <c r="J1572" s="61"/>
      <c r="K1572" s="61"/>
      <c r="L1572" s="61"/>
      <c r="M1572" s="61"/>
      <c r="N1572" s="61"/>
      <c r="O1572" s="61"/>
      <c r="P1572" s="61"/>
      <c r="Q1572" s="61"/>
      <c r="R1572" s="61"/>
      <c r="S1572" s="61"/>
      <c r="T1572" s="61"/>
      <c r="U1572" s="61"/>
      <c r="V1572" s="61"/>
      <c r="W1572" s="61"/>
      <c r="X1572" s="61"/>
      <c r="Y1572" s="61"/>
      <c r="Z1572" s="61"/>
      <c r="AA1572" s="61"/>
      <c r="AB1572" s="61"/>
      <c r="AC1572" s="61"/>
    </row>
    <row r="1573" ht="15.75" customHeight="1">
      <c r="A1573" s="61"/>
      <c r="B1573" s="61"/>
      <c r="C1573" s="61"/>
      <c r="D1573" s="61"/>
      <c r="E1573" s="61"/>
      <c r="F1573" s="61"/>
      <c r="G1573" s="61"/>
      <c r="H1573" s="61"/>
      <c r="I1573" s="61"/>
      <c r="J1573" s="61"/>
      <c r="K1573" s="61"/>
      <c r="L1573" s="61"/>
      <c r="M1573" s="61"/>
      <c r="N1573" s="61"/>
      <c r="O1573" s="61"/>
      <c r="P1573" s="61"/>
      <c r="Q1573" s="61"/>
      <c r="R1573" s="61"/>
      <c r="S1573" s="61"/>
      <c r="T1573" s="61"/>
      <c r="U1573" s="61"/>
      <c r="V1573" s="61"/>
      <c r="W1573" s="61"/>
      <c r="X1573" s="61"/>
      <c r="Y1573" s="61"/>
      <c r="Z1573" s="61"/>
      <c r="AA1573" s="61"/>
      <c r="AB1573" s="61"/>
      <c r="AC1573" s="61"/>
    </row>
    <row r="1574" ht="15.75" customHeight="1">
      <c r="A1574" s="61"/>
      <c r="B1574" s="61"/>
      <c r="C1574" s="61"/>
      <c r="D1574" s="61"/>
      <c r="E1574" s="61"/>
      <c r="F1574" s="61"/>
      <c r="G1574" s="61"/>
      <c r="H1574" s="61"/>
      <c r="I1574" s="61"/>
      <c r="J1574" s="61"/>
      <c r="K1574" s="61"/>
      <c r="L1574" s="61"/>
      <c r="M1574" s="61"/>
      <c r="N1574" s="61"/>
      <c r="O1574" s="61"/>
      <c r="P1574" s="61"/>
      <c r="Q1574" s="61"/>
      <c r="R1574" s="61"/>
      <c r="S1574" s="61"/>
      <c r="T1574" s="61"/>
      <c r="U1574" s="61"/>
      <c r="V1574" s="61"/>
      <c r="W1574" s="61"/>
      <c r="X1574" s="61"/>
      <c r="Y1574" s="61"/>
      <c r="Z1574" s="61"/>
      <c r="AA1574" s="61"/>
      <c r="AB1574" s="61"/>
      <c r="AC1574" s="61"/>
    </row>
    <row r="1575" ht="15.75" customHeight="1">
      <c r="A1575" s="61"/>
      <c r="B1575" s="61"/>
      <c r="C1575" s="61"/>
      <c r="D1575" s="61"/>
      <c r="E1575" s="61"/>
      <c r="F1575" s="61"/>
      <c r="G1575" s="61"/>
      <c r="H1575" s="61"/>
      <c r="I1575" s="61"/>
      <c r="J1575" s="61"/>
      <c r="K1575" s="61"/>
      <c r="L1575" s="61"/>
      <c r="M1575" s="61"/>
      <c r="N1575" s="61"/>
      <c r="O1575" s="61"/>
      <c r="P1575" s="61"/>
      <c r="Q1575" s="61"/>
      <c r="R1575" s="61"/>
      <c r="S1575" s="61"/>
      <c r="T1575" s="61"/>
      <c r="U1575" s="61"/>
      <c r="V1575" s="61"/>
      <c r="W1575" s="61"/>
      <c r="X1575" s="61"/>
      <c r="Y1575" s="61"/>
      <c r="Z1575" s="61"/>
      <c r="AA1575" s="61"/>
      <c r="AB1575" s="61"/>
      <c r="AC1575" s="61"/>
    </row>
    <row r="1576" ht="15.75" customHeight="1">
      <c r="A1576" s="61"/>
      <c r="B1576" s="61"/>
      <c r="C1576" s="61"/>
      <c r="D1576" s="61"/>
      <c r="E1576" s="61"/>
      <c r="F1576" s="61"/>
      <c r="G1576" s="61"/>
      <c r="H1576" s="61"/>
      <c r="I1576" s="61"/>
      <c r="J1576" s="61"/>
      <c r="K1576" s="61"/>
      <c r="L1576" s="61"/>
      <c r="M1576" s="61"/>
      <c r="N1576" s="61"/>
      <c r="O1576" s="61"/>
      <c r="P1576" s="61"/>
      <c r="Q1576" s="61"/>
      <c r="R1576" s="61"/>
      <c r="S1576" s="61"/>
      <c r="T1576" s="61"/>
      <c r="U1576" s="61"/>
      <c r="V1576" s="61"/>
      <c r="W1576" s="61"/>
      <c r="X1576" s="61"/>
      <c r="Y1576" s="61"/>
      <c r="Z1576" s="61"/>
      <c r="AA1576" s="61"/>
      <c r="AB1576" s="61"/>
      <c r="AC1576" s="61"/>
    </row>
    <row r="1577" ht="15.75" customHeight="1">
      <c r="A1577" s="61"/>
      <c r="B1577" s="61"/>
      <c r="C1577" s="61"/>
      <c r="D1577" s="61"/>
      <c r="E1577" s="61"/>
      <c r="F1577" s="61"/>
      <c r="G1577" s="61"/>
      <c r="H1577" s="61"/>
      <c r="I1577" s="61"/>
      <c r="J1577" s="61"/>
      <c r="K1577" s="61"/>
      <c r="L1577" s="61"/>
      <c r="M1577" s="61"/>
      <c r="N1577" s="61"/>
      <c r="O1577" s="61"/>
      <c r="P1577" s="61"/>
      <c r="Q1577" s="61"/>
      <c r="R1577" s="61"/>
      <c r="S1577" s="61"/>
      <c r="T1577" s="61"/>
      <c r="U1577" s="61"/>
      <c r="V1577" s="61"/>
      <c r="W1577" s="61"/>
      <c r="X1577" s="61"/>
      <c r="Y1577" s="61"/>
      <c r="Z1577" s="61"/>
      <c r="AA1577" s="61"/>
      <c r="AB1577" s="61"/>
      <c r="AC1577" s="61"/>
    </row>
    <row r="1578" ht="15.75" customHeight="1">
      <c r="A1578" s="61"/>
      <c r="B1578" s="61"/>
      <c r="C1578" s="61"/>
      <c r="D1578" s="61"/>
      <c r="E1578" s="61"/>
      <c r="F1578" s="61"/>
      <c r="G1578" s="61"/>
      <c r="H1578" s="61"/>
      <c r="I1578" s="61"/>
      <c r="J1578" s="61"/>
      <c r="K1578" s="61"/>
      <c r="L1578" s="61"/>
      <c r="M1578" s="61"/>
      <c r="N1578" s="61"/>
      <c r="O1578" s="61"/>
      <c r="P1578" s="61"/>
      <c r="Q1578" s="61"/>
      <c r="R1578" s="61"/>
      <c r="S1578" s="61"/>
      <c r="T1578" s="61"/>
      <c r="U1578" s="61"/>
      <c r="V1578" s="61"/>
      <c r="W1578" s="61"/>
      <c r="X1578" s="61"/>
      <c r="Y1578" s="61"/>
      <c r="Z1578" s="61"/>
      <c r="AA1578" s="61"/>
      <c r="AB1578" s="61"/>
      <c r="AC1578" s="61"/>
    </row>
    <row r="1579" ht="15.75" customHeight="1">
      <c r="A1579" s="61"/>
      <c r="B1579" s="61"/>
      <c r="C1579" s="61"/>
      <c r="D1579" s="61"/>
      <c r="E1579" s="61"/>
      <c r="F1579" s="61"/>
      <c r="G1579" s="61"/>
      <c r="H1579" s="61"/>
      <c r="I1579" s="61"/>
      <c r="J1579" s="61"/>
      <c r="K1579" s="61"/>
      <c r="L1579" s="61"/>
      <c r="M1579" s="61"/>
      <c r="N1579" s="61"/>
      <c r="O1579" s="61"/>
      <c r="P1579" s="61"/>
      <c r="Q1579" s="61"/>
      <c r="R1579" s="61"/>
      <c r="S1579" s="61"/>
      <c r="T1579" s="61"/>
      <c r="U1579" s="61"/>
      <c r="V1579" s="61"/>
      <c r="W1579" s="61"/>
      <c r="X1579" s="61"/>
      <c r="Y1579" s="61"/>
      <c r="Z1579" s="61"/>
      <c r="AA1579" s="61"/>
      <c r="AB1579" s="61"/>
      <c r="AC1579" s="61"/>
    </row>
    <row r="1580" ht="15.75" customHeight="1">
      <c r="A1580" s="61"/>
      <c r="B1580" s="61"/>
      <c r="C1580" s="61"/>
      <c r="D1580" s="61"/>
      <c r="E1580" s="61"/>
      <c r="F1580" s="61"/>
      <c r="G1580" s="61"/>
      <c r="H1580" s="61"/>
      <c r="I1580" s="61"/>
      <c r="J1580" s="61"/>
      <c r="K1580" s="61"/>
      <c r="L1580" s="61"/>
      <c r="M1580" s="61"/>
      <c r="N1580" s="61"/>
      <c r="O1580" s="61"/>
      <c r="P1580" s="61"/>
      <c r="Q1580" s="61"/>
      <c r="R1580" s="61"/>
      <c r="S1580" s="61"/>
      <c r="T1580" s="61"/>
      <c r="U1580" s="61"/>
      <c r="V1580" s="61"/>
      <c r="W1580" s="61"/>
      <c r="X1580" s="61"/>
      <c r="Y1580" s="61"/>
      <c r="Z1580" s="61"/>
      <c r="AA1580" s="61"/>
      <c r="AB1580" s="61"/>
      <c r="AC1580" s="61"/>
    </row>
    <row r="1581" ht="15.75" customHeight="1">
      <c r="A1581" s="61"/>
      <c r="B1581" s="61"/>
      <c r="C1581" s="61"/>
      <c r="D1581" s="61"/>
      <c r="E1581" s="61"/>
      <c r="F1581" s="61"/>
      <c r="G1581" s="61"/>
      <c r="H1581" s="61"/>
      <c r="I1581" s="61"/>
      <c r="J1581" s="61"/>
      <c r="K1581" s="61"/>
      <c r="L1581" s="61"/>
      <c r="M1581" s="61"/>
      <c r="N1581" s="61"/>
      <c r="O1581" s="61"/>
      <c r="P1581" s="61"/>
      <c r="Q1581" s="61"/>
      <c r="R1581" s="61"/>
      <c r="S1581" s="61"/>
      <c r="T1581" s="61"/>
      <c r="U1581" s="61"/>
      <c r="V1581" s="61"/>
      <c r="W1581" s="61"/>
      <c r="X1581" s="61"/>
      <c r="Y1581" s="61"/>
      <c r="Z1581" s="61"/>
      <c r="AA1581" s="61"/>
      <c r="AB1581" s="61"/>
      <c r="AC1581" s="61"/>
    </row>
    <row r="1582" ht="15.75" customHeight="1">
      <c r="A1582" s="61"/>
      <c r="B1582" s="61"/>
      <c r="C1582" s="61"/>
      <c r="D1582" s="61"/>
      <c r="E1582" s="61"/>
      <c r="F1582" s="61"/>
      <c r="G1582" s="61"/>
      <c r="H1582" s="61"/>
      <c r="I1582" s="61"/>
      <c r="J1582" s="61"/>
      <c r="K1582" s="61"/>
      <c r="L1582" s="61"/>
      <c r="M1582" s="61"/>
      <c r="N1582" s="61"/>
      <c r="O1582" s="61"/>
      <c r="P1582" s="61"/>
      <c r="Q1582" s="61"/>
      <c r="R1582" s="61"/>
      <c r="S1582" s="61"/>
      <c r="T1582" s="61"/>
      <c r="U1582" s="61"/>
      <c r="V1582" s="61"/>
      <c r="W1582" s="61"/>
      <c r="X1582" s="61"/>
      <c r="Y1582" s="61"/>
      <c r="Z1582" s="61"/>
      <c r="AA1582" s="61"/>
      <c r="AB1582" s="61"/>
      <c r="AC1582" s="61"/>
    </row>
    <row r="1583" ht="15.75" customHeight="1">
      <c r="A1583" s="61"/>
      <c r="B1583" s="61"/>
      <c r="C1583" s="61"/>
      <c r="D1583" s="61"/>
      <c r="E1583" s="61"/>
      <c r="F1583" s="61"/>
      <c r="G1583" s="61"/>
      <c r="H1583" s="61"/>
      <c r="I1583" s="61"/>
      <c r="J1583" s="61"/>
      <c r="K1583" s="61"/>
      <c r="L1583" s="61"/>
      <c r="M1583" s="61"/>
      <c r="N1583" s="61"/>
      <c r="O1583" s="61"/>
      <c r="P1583" s="61"/>
      <c r="Q1583" s="61"/>
      <c r="R1583" s="61"/>
      <c r="S1583" s="61"/>
      <c r="T1583" s="61"/>
      <c r="U1583" s="61"/>
      <c r="V1583" s="61"/>
      <c r="W1583" s="61"/>
      <c r="X1583" s="61"/>
      <c r="Y1583" s="61"/>
      <c r="Z1583" s="61"/>
      <c r="AA1583" s="61"/>
      <c r="AB1583" s="61"/>
      <c r="AC1583" s="61"/>
    </row>
    <row r="1584" ht="15.75" customHeight="1">
      <c r="A1584" s="61"/>
      <c r="B1584" s="61"/>
      <c r="C1584" s="61"/>
      <c r="D1584" s="61"/>
      <c r="E1584" s="61"/>
      <c r="F1584" s="61"/>
      <c r="G1584" s="61"/>
      <c r="H1584" s="61"/>
      <c r="I1584" s="61"/>
      <c r="J1584" s="61"/>
      <c r="K1584" s="61"/>
      <c r="L1584" s="61"/>
      <c r="M1584" s="61"/>
      <c r="N1584" s="61"/>
      <c r="O1584" s="61"/>
      <c r="P1584" s="61"/>
      <c r="Q1584" s="61"/>
      <c r="R1584" s="61"/>
      <c r="S1584" s="61"/>
      <c r="T1584" s="61"/>
      <c r="U1584" s="61"/>
      <c r="V1584" s="61"/>
      <c r="W1584" s="61"/>
      <c r="X1584" s="61"/>
      <c r="Y1584" s="61"/>
      <c r="Z1584" s="61"/>
      <c r="AA1584" s="61"/>
      <c r="AB1584" s="61"/>
      <c r="AC1584" s="61"/>
    </row>
    <row r="1585" ht="15.75" customHeight="1">
      <c r="A1585" s="61"/>
      <c r="B1585" s="61"/>
      <c r="C1585" s="61"/>
      <c r="D1585" s="61"/>
      <c r="E1585" s="61"/>
      <c r="F1585" s="61"/>
      <c r="G1585" s="61"/>
      <c r="H1585" s="61"/>
      <c r="I1585" s="61"/>
      <c r="J1585" s="61"/>
      <c r="K1585" s="61"/>
      <c r="L1585" s="61"/>
      <c r="M1585" s="61"/>
      <c r="N1585" s="61"/>
      <c r="O1585" s="61"/>
      <c r="P1585" s="61"/>
      <c r="Q1585" s="61"/>
      <c r="R1585" s="61"/>
      <c r="S1585" s="61"/>
      <c r="T1585" s="61"/>
      <c r="U1585" s="61"/>
      <c r="V1585" s="61"/>
      <c r="W1585" s="61"/>
      <c r="X1585" s="61"/>
      <c r="Y1585" s="61"/>
      <c r="Z1585" s="61"/>
      <c r="AA1585" s="61"/>
      <c r="AB1585" s="61"/>
      <c r="AC1585" s="61"/>
    </row>
    <row r="1586" ht="15.75" customHeight="1">
      <c r="A1586" s="61"/>
      <c r="B1586" s="61"/>
      <c r="C1586" s="61"/>
      <c r="D1586" s="61"/>
      <c r="E1586" s="61"/>
      <c r="F1586" s="61"/>
      <c r="G1586" s="61"/>
      <c r="H1586" s="61"/>
      <c r="I1586" s="61"/>
      <c r="J1586" s="61"/>
      <c r="K1586" s="61"/>
      <c r="L1586" s="61"/>
      <c r="M1586" s="61"/>
      <c r="N1586" s="61"/>
      <c r="O1586" s="61"/>
      <c r="P1586" s="61"/>
      <c r="Q1586" s="61"/>
      <c r="R1586" s="61"/>
      <c r="S1586" s="61"/>
      <c r="T1586" s="61"/>
      <c r="U1586" s="61"/>
      <c r="V1586" s="61"/>
      <c r="W1586" s="61"/>
      <c r="X1586" s="61"/>
      <c r="Y1586" s="61"/>
      <c r="Z1586" s="61"/>
      <c r="AA1586" s="61"/>
      <c r="AB1586" s="61"/>
      <c r="AC1586" s="61"/>
    </row>
    <row r="1587" ht="15.75" customHeight="1">
      <c r="A1587" s="61"/>
      <c r="B1587" s="61"/>
      <c r="C1587" s="61"/>
      <c r="D1587" s="61"/>
      <c r="E1587" s="61"/>
      <c r="F1587" s="61"/>
      <c r="G1587" s="61"/>
      <c r="H1587" s="61"/>
      <c r="I1587" s="61"/>
      <c r="J1587" s="61"/>
      <c r="K1587" s="61"/>
      <c r="L1587" s="61"/>
      <c r="M1587" s="61"/>
      <c r="N1587" s="61"/>
      <c r="O1587" s="61"/>
      <c r="P1587" s="61"/>
      <c r="Q1587" s="61"/>
      <c r="R1587" s="61"/>
      <c r="S1587" s="61"/>
      <c r="T1587" s="61"/>
      <c r="U1587" s="61"/>
      <c r="V1587" s="61"/>
      <c r="W1587" s="61"/>
      <c r="X1587" s="61"/>
      <c r="Y1587" s="61"/>
      <c r="Z1587" s="61"/>
      <c r="AA1587" s="61"/>
      <c r="AB1587" s="61"/>
      <c r="AC1587" s="61"/>
    </row>
    <row r="1588" ht="15.75" customHeight="1">
      <c r="A1588" s="61"/>
      <c r="B1588" s="61"/>
      <c r="C1588" s="61"/>
      <c r="D1588" s="61"/>
      <c r="E1588" s="61"/>
      <c r="F1588" s="61"/>
      <c r="G1588" s="61"/>
      <c r="H1588" s="61"/>
      <c r="I1588" s="61"/>
      <c r="J1588" s="61"/>
      <c r="K1588" s="61"/>
      <c r="L1588" s="61"/>
      <c r="M1588" s="61"/>
      <c r="N1588" s="61"/>
      <c r="O1588" s="61"/>
      <c r="P1588" s="61"/>
      <c r="Q1588" s="61"/>
      <c r="R1588" s="61"/>
      <c r="S1588" s="61"/>
      <c r="T1588" s="61"/>
      <c r="U1588" s="61"/>
      <c r="V1588" s="61"/>
      <c r="W1588" s="61"/>
      <c r="X1588" s="61"/>
      <c r="Y1588" s="61"/>
      <c r="Z1588" s="61"/>
      <c r="AA1588" s="61"/>
      <c r="AB1588" s="61"/>
      <c r="AC1588" s="61"/>
    </row>
    <row r="1589" ht="15.75" customHeight="1">
      <c r="A1589" s="61"/>
      <c r="B1589" s="61"/>
      <c r="C1589" s="61"/>
      <c r="D1589" s="61"/>
      <c r="E1589" s="61"/>
      <c r="F1589" s="61"/>
      <c r="G1589" s="61"/>
      <c r="H1589" s="61"/>
      <c r="I1589" s="61"/>
      <c r="J1589" s="61"/>
      <c r="K1589" s="61"/>
      <c r="L1589" s="61"/>
      <c r="M1589" s="61"/>
      <c r="N1589" s="61"/>
      <c r="O1589" s="61"/>
      <c r="P1589" s="61"/>
      <c r="Q1589" s="61"/>
      <c r="R1589" s="61"/>
      <c r="S1589" s="61"/>
      <c r="T1589" s="61"/>
      <c r="U1589" s="61"/>
      <c r="V1589" s="61"/>
      <c r="W1589" s="61"/>
      <c r="X1589" s="61"/>
      <c r="Y1589" s="61"/>
      <c r="Z1589" s="61"/>
      <c r="AA1589" s="61"/>
      <c r="AB1589" s="61"/>
      <c r="AC1589" s="61"/>
    </row>
    <row r="1590" ht="15.75" customHeight="1">
      <c r="A1590" s="61"/>
      <c r="B1590" s="61"/>
      <c r="C1590" s="61"/>
      <c r="D1590" s="61"/>
      <c r="E1590" s="61"/>
      <c r="F1590" s="61"/>
      <c r="G1590" s="61"/>
      <c r="H1590" s="61"/>
      <c r="I1590" s="61"/>
      <c r="J1590" s="61"/>
      <c r="K1590" s="61"/>
      <c r="L1590" s="61"/>
      <c r="M1590" s="61"/>
      <c r="N1590" s="61"/>
      <c r="O1590" s="61"/>
      <c r="P1590" s="61"/>
      <c r="Q1590" s="61"/>
      <c r="R1590" s="61"/>
      <c r="S1590" s="61"/>
      <c r="T1590" s="61"/>
      <c r="U1590" s="61"/>
      <c r="V1590" s="61"/>
      <c r="W1590" s="61"/>
      <c r="X1590" s="61"/>
      <c r="Y1590" s="61"/>
      <c r="Z1590" s="61"/>
      <c r="AA1590" s="61"/>
      <c r="AB1590" s="61"/>
      <c r="AC1590" s="61"/>
    </row>
    <row r="1591" ht="15.75" customHeight="1">
      <c r="A1591" s="61"/>
      <c r="B1591" s="61"/>
      <c r="C1591" s="61"/>
      <c r="D1591" s="61"/>
      <c r="E1591" s="61"/>
      <c r="F1591" s="61"/>
      <c r="G1591" s="61"/>
      <c r="H1591" s="61"/>
      <c r="I1591" s="61"/>
      <c r="J1591" s="61"/>
      <c r="K1591" s="61"/>
      <c r="L1591" s="61"/>
      <c r="M1591" s="61"/>
      <c r="N1591" s="61"/>
      <c r="O1591" s="61"/>
      <c r="P1591" s="61"/>
      <c r="Q1591" s="61"/>
      <c r="R1591" s="61"/>
      <c r="S1591" s="61"/>
      <c r="T1591" s="61"/>
      <c r="U1591" s="61"/>
      <c r="V1591" s="61"/>
      <c r="W1591" s="61"/>
      <c r="X1591" s="61"/>
      <c r="Y1591" s="61"/>
      <c r="Z1591" s="61"/>
      <c r="AA1591" s="61"/>
      <c r="AB1591" s="61"/>
      <c r="AC1591" s="61"/>
    </row>
    <row r="1592" ht="15.75" customHeight="1">
      <c r="A1592" s="61"/>
      <c r="B1592" s="61"/>
      <c r="C1592" s="61"/>
      <c r="D1592" s="61"/>
      <c r="E1592" s="61"/>
      <c r="F1592" s="61"/>
      <c r="G1592" s="61"/>
      <c r="H1592" s="61"/>
      <c r="I1592" s="61"/>
      <c r="J1592" s="61"/>
      <c r="K1592" s="61"/>
      <c r="L1592" s="61"/>
      <c r="M1592" s="61"/>
      <c r="N1592" s="61"/>
      <c r="O1592" s="61"/>
      <c r="P1592" s="61"/>
      <c r="Q1592" s="61"/>
      <c r="R1592" s="61"/>
      <c r="S1592" s="61"/>
      <c r="T1592" s="61"/>
      <c r="U1592" s="61"/>
      <c r="V1592" s="61"/>
      <c r="W1592" s="61"/>
      <c r="X1592" s="61"/>
      <c r="Y1592" s="61"/>
      <c r="Z1592" s="61"/>
      <c r="AA1592" s="61"/>
      <c r="AB1592" s="61"/>
      <c r="AC1592" s="61"/>
    </row>
    <row r="1593" ht="15.75" customHeight="1">
      <c r="A1593" s="61"/>
      <c r="B1593" s="61"/>
      <c r="C1593" s="61"/>
      <c r="D1593" s="61"/>
      <c r="E1593" s="61"/>
      <c r="F1593" s="61"/>
      <c r="G1593" s="61"/>
      <c r="H1593" s="61"/>
      <c r="I1593" s="61"/>
      <c r="J1593" s="61"/>
      <c r="K1593" s="61"/>
      <c r="L1593" s="61"/>
      <c r="M1593" s="61"/>
      <c r="N1593" s="61"/>
      <c r="O1593" s="61"/>
      <c r="P1593" s="61"/>
      <c r="Q1593" s="61"/>
      <c r="R1593" s="61"/>
      <c r="S1593" s="61"/>
      <c r="T1593" s="61"/>
      <c r="U1593" s="61"/>
      <c r="V1593" s="61"/>
      <c r="W1593" s="61"/>
      <c r="X1593" s="61"/>
      <c r="Y1593" s="61"/>
      <c r="Z1593" s="61"/>
      <c r="AA1593" s="61"/>
      <c r="AB1593" s="61"/>
      <c r="AC1593" s="61"/>
    </row>
    <row r="1594" ht="15.75" customHeight="1">
      <c r="A1594" s="61"/>
      <c r="B1594" s="61"/>
      <c r="C1594" s="61"/>
      <c r="D1594" s="61"/>
      <c r="E1594" s="61"/>
      <c r="F1594" s="61"/>
      <c r="G1594" s="61"/>
      <c r="H1594" s="61"/>
      <c r="I1594" s="61"/>
      <c r="J1594" s="61"/>
      <c r="K1594" s="61"/>
      <c r="L1594" s="61"/>
      <c r="M1594" s="61"/>
      <c r="N1594" s="61"/>
      <c r="O1594" s="61"/>
      <c r="P1594" s="61"/>
      <c r="Q1594" s="61"/>
      <c r="R1594" s="61"/>
      <c r="S1594" s="61"/>
      <c r="T1594" s="61"/>
      <c r="U1594" s="61"/>
      <c r="V1594" s="61"/>
      <c r="W1594" s="61"/>
      <c r="X1594" s="61"/>
      <c r="Y1594" s="61"/>
      <c r="Z1594" s="61"/>
      <c r="AA1594" s="61"/>
      <c r="AB1594" s="61"/>
      <c r="AC1594" s="61"/>
    </row>
    <row r="1595" ht="15.75" customHeight="1">
      <c r="A1595" s="61"/>
      <c r="B1595" s="61"/>
      <c r="C1595" s="61"/>
      <c r="D1595" s="61"/>
      <c r="E1595" s="61"/>
      <c r="F1595" s="61"/>
      <c r="G1595" s="61"/>
      <c r="H1595" s="61"/>
      <c r="I1595" s="61"/>
      <c r="J1595" s="61"/>
      <c r="K1595" s="61"/>
      <c r="L1595" s="61"/>
      <c r="M1595" s="61"/>
      <c r="N1595" s="61"/>
      <c r="O1595" s="61"/>
      <c r="P1595" s="61"/>
      <c r="Q1595" s="61"/>
      <c r="R1595" s="61"/>
      <c r="S1595" s="61"/>
      <c r="T1595" s="61"/>
      <c r="U1595" s="61"/>
      <c r="V1595" s="61"/>
      <c r="W1595" s="61"/>
      <c r="X1595" s="61"/>
      <c r="Y1595" s="61"/>
      <c r="Z1595" s="61"/>
      <c r="AA1595" s="61"/>
      <c r="AB1595" s="61"/>
      <c r="AC1595" s="61"/>
    </row>
    <row r="1596" ht="15.75" customHeight="1">
      <c r="A1596" s="61"/>
      <c r="B1596" s="61"/>
      <c r="C1596" s="61"/>
      <c r="D1596" s="61"/>
      <c r="E1596" s="61"/>
      <c r="F1596" s="61"/>
      <c r="G1596" s="61"/>
      <c r="H1596" s="61"/>
      <c r="I1596" s="61"/>
      <c r="J1596" s="61"/>
      <c r="K1596" s="61"/>
      <c r="L1596" s="61"/>
      <c r="M1596" s="61"/>
      <c r="N1596" s="61"/>
      <c r="O1596" s="61"/>
      <c r="P1596" s="61"/>
      <c r="Q1596" s="61"/>
      <c r="R1596" s="61"/>
      <c r="S1596" s="61"/>
      <c r="T1596" s="61"/>
      <c r="U1596" s="61"/>
      <c r="V1596" s="61"/>
      <c r="W1596" s="61"/>
      <c r="X1596" s="61"/>
      <c r="Y1596" s="61"/>
      <c r="Z1596" s="61"/>
      <c r="AA1596" s="61"/>
      <c r="AB1596" s="61"/>
      <c r="AC1596" s="61"/>
    </row>
    <row r="1597" ht="15.75" customHeight="1">
      <c r="A1597" s="61"/>
      <c r="B1597" s="61"/>
      <c r="C1597" s="61"/>
      <c r="D1597" s="61"/>
      <c r="E1597" s="61"/>
      <c r="F1597" s="61"/>
      <c r="G1597" s="61"/>
      <c r="H1597" s="61"/>
      <c r="I1597" s="61"/>
      <c r="J1597" s="61"/>
      <c r="K1597" s="61"/>
      <c r="L1597" s="61"/>
      <c r="M1597" s="61"/>
      <c r="N1597" s="61"/>
      <c r="O1597" s="61"/>
      <c r="P1597" s="61"/>
      <c r="Q1597" s="61"/>
      <c r="R1597" s="61"/>
      <c r="S1597" s="61"/>
      <c r="T1597" s="61"/>
      <c r="U1597" s="61"/>
      <c r="V1597" s="61"/>
      <c r="W1597" s="61"/>
      <c r="X1597" s="61"/>
      <c r="Y1597" s="61"/>
      <c r="Z1597" s="61"/>
      <c r="AA1597" s="61"/>
      <c r="AB1597" s="61"/>
      <c r="AC1597" s="61"/>
    </row>
    <row r="1598" ht="15.75" customHeight="1">
      <c r="A1598" s="61"/>
      <c r="B1598" s="61"/>
      <c r="C1598" s="61"/>
      <c r="D1598" s="61"/>
      <c r="E1598" s="61"/>
      <c r="F1598" s="61"/>
      <c r="G1598" s="61"/>
      <c r="H1598" s="61"/>
      <c r="I1598" s="61"/>
      <c r="J1598" s="61"/>
      <c r="K1598" s="61"/>
      <c r="L1598" s="61"/>
      <c r="M1598" s="61"/>
      <c r="N1598" s="61"/>
      <c r="O1598" s="61"/>
      <c r="P1598" s="61"/>
      <c r="Q1598" s="61"/>
      <c r="R1598" s="61"/>
      <c r="S1598" s="61"/>
      <c r="T1598" s="61"/>
      <c r="U1598" s="61"/>
      <c r="V1598" s="61"/>
      <c r="W1598" s="61"/>
      <c r="X1598" s="61"/>
      <c r="Y1598" s="61"/>
      <c r="Z1598" s="61"/>
      <c r="AA1598" s="61"/>
      <c r="AB1598" s="61"/>
      <c r="AC1598" s="61"/>
    </row>
    <row r="1599" ht="15.75" customHeight="1">
      <c r="A1599" s="61"/>
      <c r="B1599" s="61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  <c r="O1599" s="61"/>
      <c r="P1599" s="61"/>
      <c r="Q1599" s="61"/>
      <c r="R1599" s="61"/>
      <c r="S1599" s="61"/>
      <c r="T1599" s="61"/>
      <c r="U1599" s="61"/>
      <c r="V1599" s="61"/>
      <c r="W1599" s="61"/>
      <c r="X1599" s="61"/>
      <c r="Y1599" s="61"/>
      <c r="Z1599" s="61"/>
      <c r="AA1599" s="61"/>
      <c r="AB1599" s="61"/>
      <c r="AC1599" s="61"/>
    </row>
    <row r="1600" ht="15.75" customHeight="1">
      <c r="A1600" s="61"/>
      <c r="B1600" s="61"/>
      <c r="C1600" s="61"/>
      <c r="D1600" s="61"/>
      <c r="E1600" s="61"/>
      <c r="F1600" s="61"/>
      <c r="G1600" s="61"/>
      <c r="H1600" s="61"/>
      <c r="I1600" s="61"/>
      <c r="J1600" s="61"/>
      <c r="K1600" s="61"/>
      <c r="L1600" s="61"/>
      <c r="M1600" s="61"/>
      <c r="N1600" s="61"/>
      <c r="O1600" s="61"/>
      <c r="P1600" s="61"/>
      <c r="Q1600" s="61"/>
      <c r="R1600" s="61"/>
      <c r="S1600" s="61"/>
      <c r="T1600" s="61"/>
      <c r="U1600" s="61"/>
      <c r="V1600" s="61"/>
      <c r="W1600" s="61"/>
      <c r="X1600" s="61"/>
      <c r="Y1600" s="61"/>
      <c r="Z1600" s="61"/>
      <c r="AA1600" s="61"/>
      <c r="AB1600" s="61"/>
      <c r="AC1600" s="61"/>
    </row>
    <row r="1601" ht="15.75" customHeight="1">
      <c r="A1601" s="61"/>
      <c r="B1601" s="61"/>
      <c r="C1601" s="61"/>
      <c r="D1601" s="61"/>
      <c r="E1601" s="61"/>
      <c r="F1601" s="61"/>
      <c r="G1601" s="61"/>
      <c r="H1601" s="61"/>
      <c r="I1601" s="61"/>
      <c r="J1601" s="61"/>
      <c r="K1601" s="61"/>
      <c r="L1601" s="61"/>
      <c r="M1601" s="61"/>
      <c r="N1601" s="61"/>
      <c r="O1601" s="61"/>
      <c r="P1601" s="61"/>
      <c r="Q1601" s="61"/>
      <c r="R1601" s="61"/>
      <c r="S1601" s="61"/>
      <c r="T1601" s="61"/>
      <c r="U1601" s="61"/>
      <c r="V1601" s="61"/>
      <c r="W1601" s="61"/>
      <c r="X1601" s="61"/>
      <c r="Y1601" s="61"/>
      <c r="Z1601" s="61"/>
      <c r="AA1601" s="61"/>
      <c r="AB1601" s="61"/>
      <c r="AC1601" s="61"/>
    </row>
    <row r="1602" ht="15.75" customHeight="1">
      <c r="A1602" s="61"/>
      <c r="B1602" s="61"/>
      <c r="C1602" s="61"/>
      <c r="D1602" s="61"/>
      <c r="E1602" s="61"/>
      <c r="F1602" s="61"/>
      <c r="G1602" s="61"/>
      <c r="H1602" s="61"/>
      <c r="I1602" s="61"/>
      <c r="J1602" s="61"/>
      <c r="K1602" s="61"/>
      <c r="L1602" s="61"/>
      <c r="M1602" s="61"/>
      <c r="N1602" s="61"/>
      <c r="O1602" s="61"/>
      <c r="P1602" s="61"/>
      <c r="Q1602" s="61"/>
      <c r="R1602" s="61"/>
      <c r="S1602" s="61"/>
      <c r="T1602" s="61"/>
      <c r="U1602" s="61"/>
      <c r="V1602" s="61"/>
      <c r="W1602" s="61"/>
      <c r="X1602" s="61"/>
      <c r="Y1602" s="61"/>
      <c r="Z1602" s="61"/>
      <c r="AA1602" s="61"/>
      <c r="AB1602" s="61"/>
      <c r="AC1602" s="61"/>
    </row>
    <row r="1603" ht="15.75" customHeight="1">
      <c r="A1603" s="61"/>
      <c r="B1603" s="61"/>
      <c r="C1603" s="61"/>
      <c r="D1603" s="61"/>
      <c r="E1603" s="61"/>
      <c r="F1603" s="61"/>
      <c r="G1603" s="61"/>
      <c r="H1603" s="61"/>
      <c r="I1603" s="61"/>
      <c r="J1603" s="61"/>
      <c r="K1603" s="61"/>
      <c r="L1603" s="61"/>
      <c r="M1603" s="61"/>
      <c r="N1603" s="61"/>
      <c r="O1603" s="61"/>
      <c r="P1603" s="61"/>
      <c r="Q1603" s="61"/>
      <c r="R1603" s="61"/>
      <c r="S1603" s="61"/>
      <c r="T1603" s="61"/>
      <c r="U1603" s="61"/>
      <c r="V1603" s="61"/>
      <c r="W1603" s="61"/>
      <c r="X1603" s="61"/>
      <c r="Y1603" s="61"/>
      <c r="Z1603" s="61"/>
      <c r="AA1603" s="61"/>
      <c r="AB1603" s="61"/>
      <c r="AC1603" s="61"/>
    </row>
    <row r="1604" ht="15.75" customHeight="1">
      <c r="A1604" s="61"/>
      <c r="B1604" s="61"/>
      <c r="C1604" s="61"/>
      <c r="D1604" s="61"/>
      <c r="E1604" s="61"/>
      <c r="F1604" s="61"/>
      <c r="G1604" s="61"/>
      <c r="H1604" s="61"/>
      <c r="I1604" s="61"/>
      <c r="J1604" s="61"/>
      <c r="K1604" s="61"/>
      <c r="L1604" s="61"/>
      <c r="M1604" s="61"/>
      <c r="N1604" s="61"/>
      <c r="O1604" s="61"/>
      <c r="P1604" s="61"/>
      <c r="Q1604" s="61"/>
      <c r="R1604" s="61"/>
      <c r="S1604" s="61"/>
      <c r="T1604" s="61"/>
      <c r="U1604" s="61"/>
      <c r="V1604" s="61"/>
      <c r="W1604" s="61"/>
      <c r="X1604" s="61"/>
      <c r="Y1604" s="61"/>
      <c r="Z1604" s="61"/>
      <c r="AA1604" s="61"/>
      <c r="AB1604" s="61"/>
      <c r="AC1604" s="61"/>
    </row>
    <row r="1605" ht="15.75" customHeight="1">
      <c r="A1605" s="61"/>
      <c r="B1605" s="61"/>
      <c r="C1605" s="61"/>
      <c r="D1605" s="61"/>
      <c r="E1605" s="61"/>
      <c r="F1605" s="61"/>
      <c r="G1605" s="61"/>
      <c r="H1605" s="61"/>
      <c r="I1605" s="61"/>
      <c r="J1605" s="61"/>
      <c r="K1605" s="61"/>
      <c r="L1605" s="61"/>
      <c r="M1605" s="61"/>
      <c r="N1605" s="61"/>
      <c r="O1605" s="61"/>
      <c r="P1605" s="61"/>
      <c r="Q1605" s="61"/>
      <c r="R1605" s="61"/>
      <c r="S1605" s="61"/>
      <c r="T1605" s="61"/>
      <c r="U1605" s="61"/>
      <c r="V1605" s="61"/>
      <c r="W1605" s="61"/>
      <c r="X1605" s="61"/>
      <c r="Y1605" s="61"/>
      <c r="Z1605" s="61"/>
      <c r="AA1605" s="61"/>
      <c r="AB1605" s="61"/>
      <c r="AC1605" s="61"/>
    </row>
    <row r="1606" ht="15.75" customHeight="1">
      <c r="A1606" s="61"/>
      <c r="B1606" s="61"/>
      <c r="C1606" s="61"/>
      <c r="D1606" s="61"/>
      <c r="E1606" s="61"/>
      <c r="F1606" s="61"/>
      <c r="G1606" s="61"/>
      <c r="H1606" s="61"/>
      <c r="I1606" s="61"/>
      <c r="J1606" s="61"/>
      <c r="K1606" s="61"/>
      <c r="L1606" s="61"/>
      <c r="M1606" s="61"/>
      <c r="N1606" s="61"/>
      <c r="O1606" s="61"/>
      <c r="P1606" s="61"/>
      <c r="Q1606" s="61"/>
      <c r="R1606" s="61"/>
      <c r="S1606" s="61"/>
      <c r="T1606" s="61"/>
      <c r="U1606" s="61"/>
      <c r="V1606" s="61"/>
      <c r="W1606" s="61"/>
      <c r="X1606" s="61"/>
      <c r="Y1606" s="61"/>
      <c r="Z1606" s="61"/>
      <c r="AA1606" s="61"/>
      <c r="AB1606" s="61"/>
      <c r="AC1606" s="61"/>
    </row>
    <row r="1607" ht="15.75" customHeight="1">
      <c r="A1607" s="61"/>
      <c r="B1607" s="61"/>
      <c r="C1607" s="61"/>
      <c r="D1607" s="61"/>
      <c r="E1607" s="61"/>
      <c r="F1607" s="61"/>
      <c r="G1607" s="61"/>
      <c r="H1607" s="61"/>
      <c r="I1607" s="61"/>
      <c r="J1607" s="61"/>
      <c r="K1607" s="61"/>
      <c r="L1607" s="61"/>
      <c r="M1607" s="61"/>
      <c r="N1607" s="61"/>
      <c r="O1607" s="61"/>
      <c r="P1607" s="61"/>
      <c r="Q1607" s="61"/>
      <c r="R1607" s="61"/>
      <c r="S1607" s="61"/>
      <c r="T1607" s="61"/>
      <c r="U1607" s="61"/>
      <c r="V1607" s="61"/>
      <c r="W1607" s="61"/>
      <c r="X1607" s="61"/>
      <c r="Y1607" s="61"/>
      <c r="Z1607" s="61"/>
      <c r="AA1607" s="61"/>
      <c r="AB1607" s="61"/>
      <c r="AC1607" s="61"/>
    </row>
    <row r="1608" ht="15.75" customHeight="1">
      <c r="A1608" s="61"/>
      <c r="B1608" s="61"/>
      <c r="C1608" s="61"/>
      <c r="D1608" s="61"/>
      <c r="E1608" s="61"/>
      <c r="F1608" s="61"/>
      <c r="G1608" s="61"/>
      <c r="H1608" s="61"/>
      <c r="I1608" s="61"/>
      <c r="J1608" s="61"/>
      <c r="K1608" s="61"/>
      <c r="L1608" s="61"/>
      <c r="M1608" s="61"/>
      <c r="N1608" s="61"/>
      <c r="O1608" s="61"/>
      <c r="P1608" s="61"/>
      <c r="Q1608" s="61"/>
      <c r="R1608" s="61"/>
      <c r="S1608" s="61"/>
      <c r="T1608" s="61"/>
      <c r="U1608" s="61"/>
      <c r="V1608" s="61"/>
      <c r="W1608" s="61"/>
      <c r="X1608" s="61"/>
      <c r="Y1608" s="61"/>
      <c r="Z1608" s="61"/>
      <c r="AA1608" s="61"/>
      <c r="AB1608" s="61"/>
      <c r="AC1608" s="61"/>
    </row>
    <row r="1609" ht="15.75" customHeight="1">
      <c r="A1609" s="61"/>
      <c r="B1609" s="61"/>
      <c r="C1609" s="61"/>
      <c r="D1609" s="61"/>
      <c r="E1609" s="61"/>
      <c r="F1609" s="61"/>
      <c r="G1609" s="61"/>
      <c r="H1609" s="61"/>
      <c r="I1609" s="61"/>
      <c r="J1609" s="61"/>
      <c r="K1609" s="61"/>
      <c r="L1609" s="61"/>
      <c r="M1609" s="61"/>
      <c r="N1609" s="61"/>
      <c r="O1609" s="61"/>
      <c r="P1609" s="61"/>
      <c r="Q1609" s="61"/>
      <c r="R1609" s="61"/>
      <c r="S1609" s="61"/>
      <c r="T1609" s="61"/>
      <c r="U1609" s="61"/>
      <c r="V1609" s="61"/>
      <c r="W1609" s="61"/>
      <c r="X1609" s="61"/>
      <c r="Y1609" s="61"/>
      <c r="Z1609" s="61"/>
      <c r="AA1609" s="61"/>
      <c r="AB1609" s="61"/>
      <c r="AC1609" s="61"/>
    </row>
    <row r="1610" ht="15.75" customHeight="1">
      <c r="A1610" s="61"/>
      <c r="B1610" s="61"/>
      <c r="C1610" s="61"/>
      <c r="D1610" s="61"/>
      <c r="E1610" s="61"/>
      <c r="F1610" s="61"/>
      <c r="G1610" s="61"/>
      <c r="H1610" s="61"/>
      <c r="I1610" s="61"/>
      <c r="J1610" s="61"/>
      <c r="K1610" s="61"/>
      <c r="L1610" s="61"/>
      <c r="M1610" s="61"/>
      <c r="N1610" s="61"/>
      <c r="O1610" s="61"/>
      <c r="P1610" s="61"/>
      <c r="Q1610" s="61"/>
      <c r="R1610" s="61"/>
      <c r="S1610" s="61"/>
      <c r="T1610" s="61"/>
      <c r="U1610" s="61"/>
      <c r="V1610" s="61"/>
      <c r="W1610" s="61"/>
      <c r="X1610" s="61"/>
      <c r="Y1610" s="61"/>
      <c r="Z1610" s="61"/>
      <c r="AA1610" s="61"/>
      <c r="AB1610" s="61"/>
      <c r="AC1610" s="61"/>
    </row>
    <row r="1611" ht="15.75" customHeight="1">
      <c r="A1611" s="61"/>
      <c r="B1611" s="61"/>
      <c r="C1611" s="61"/>
      <c r="D1611" s="61"/>
      <c r="E1611" s="61"/>
      <c r="F1611" s="61"/>
      <c r="G1611" s="61"/>
      <c r="H1611" s="61"/>
      <c r="I1611" s="61"/>
      <c r="J1611" s="61"/>
      <c r="K1611" s="61"/>
      <c r="L1611" s="61"/>
      <c r="M1611" s="61"/>
      <c r="N1611" s="61"/>
      <c r="O1611" s="61"/>
      <c r="P1611" s="61"/>
      <c r="Q1611" s="61"/>
      <c r="R1611" s="61"/>
      <c r="S1611" s="61"/>
      <c r="T1611" s="61"/>
      <c r="U1611" s="61"/>
      <c r="V1611" s="61"/>
      <c r="W1611" s="61"/>
      <c r="X1611" s="61"/>
      <c r="Y1611" s="61"/>
      <c r="Z1611" s="61"/>
      <c r="AA1611" s="61"/>
      <c r="AB1611" s="61"/>
      <c r="AC1611" s="61"/>
    </row>
    <row r="1612" ht="15.75" customHeight="1">
      <c r="A1612" s="61"/>
      <c r="B1612" s="61"/>
      <c r="C1612" s="61"/>
      <c r="D1612" s="61"/>
      <c r="E1612" s="61"/>
      <c r="F1612" s="61"/>
      <c r="G1612" s="61"/>
      <c r="H1612" s="61"/>
      <c r="I1612" s="61"/>
      <c r="J1612" s="61"/>
      <c r="K1612" s="61"/>
      <c r="L1612" s="61"/>
      <c r="M1612" s="61"/>
      <c r="N1612" s="61"/>
      <c r="O1612" s="61"/>
      <c r="P1612" s="61"/>
      <c r="Q1612" s="61"/>
      <c r="R1612" s="61"/>
      <c r="S1612" s="61"/>
      <c r="T1612" s="61"/>
      <c r="U1612" s="61"/>
      <c r="V1612" s="61"/>
      <c r="W1612" s="61"/>
      <c r="X1612" s="61"/>
      <c r="Y1612" s="61"/>
      <c r="Z1612" s="61"/>
      <c r="AA1612" s="61"/>
      <c r="AB1612" s="61"/>
      <c r="AC1612" s="61"/>
    </row>
    <row r="1613" ht="15.75" customHeight="1">
      <c r="A1613" s="61"/>
      <c r="B1613" s="61"/>
      <c r="C1613" s="61"/>
      <c r="D1613" s="61"/>
      <c r="E1613" s="61"/>
      <c r="F1613" s="61"/>
      <c r="G1613" s="61"/>
      <c r="H1613" s="61"/>
      <c r="I1613" s="61"/>
      <c r="J1613" s="61"/>
      <c r="K1613" s="61"/>
      <c r="L1613" s="61"/>
      <c r="M1613" s="61"/>
      <c r="N1613" s="61"/>
      <c r="O1613" s="61"/>
      <c r="P1613" s="61"/>
      <c r="Q1613" s="61"/>
      <c r="R1613" s="61"/>
      <c r="S1613" s="61"/>
      <c r="T1613" s="61"/>
      <c r="U1613" s="61"/>
      <c r="V1613" s="61"/>
      <c r="W1613" s="61"/>
      <c r="X1613" s="61"/>
      <c r="Y1613" s="61"/>
      <c r="Z1613" s="61"/>
      <c r="AA1613" s="61"/>
      <c r="AB1613" s="61"/>
      <c r="AC1613" s="61"/>
    </row>
    <row r="1614" ht="15.75" customHeight="1">
      <c r="A1614" s="61"/>
      <c r="B1614" s="61"/>
      <c r="C1614" s="61"/>
      <c r="D1614" s="61"/>
      <c r="E1614" s="61"/>
      <c r="F1614" s="61"/>
      <c r="G1614" s="61"/>
      <c r="H1614" s="61"/>
      <c r="I1614" s="61"/>
      <c r="J1614" s="61"/>
      <c r="K1614" s="61"/>
      <c r="L1614" s="61"/>
      <c r="M1614" s="61"/>
      <c r="N1614" s="61"/>
      <c r="O1614" s="61"/>
      <c r="P1614" s="61"/>
      <c r="Q1614" s="61"/>
      <c r="R1614" s="61"/>
      <c r="S1614" s="61"/>
      <c r="T1614" s="61"/>
      <c r="U1614" s="61"/>
      <c r="V1614" s="61"/>
      <c r="W1614" s="61"/>
      <c r="X1614" s="61"/>
      <c r="Y1614" s="61"/>
      <c r="Z1614" s="61"/>
      <c r="AA1614" s="61"/>
      <c r="AB1614" s="61"/>
      <c r="AC1614" s="61"/>
    </row>
    <row r="1615" ht="15.75" customHeight="1">
      <c r="A1615" s="61"/>
      <c r="B1615" s="61"/>
      <c r="C1615" s="61"/>
      <c r="D1615" s="61"/>
      <c r="E1615" s="61"/>
      <c r="F1615" s="61"/>
      <c r="G1615" s="61"/>
      <c r="H1615" s="61"/>
      <c r="I1615" s="61"/>
      <c r="J1615" s="61"/>
      <c r="K1615" s="61"/>
      <c r="L1615" s="61"/>
      <c r="M1615" s="61"/>
      <c r="N1615" s="61"/>
      <c r="O1615" s="61"/>
      <c r="P1615" s="61"/>
      <c r="Q1615" s="61"/>
      <c r="R1615" s="61"/>
      <c r="S1615" s="61"/>
      <c r="T1615" s="61"/>
      <c r="U1615" s="61"/>
      <c r="V1615" s="61"/>
      <c r="W1615" s="61"/>
      <c r="X1615" s="61"/>
      <c r="Y1615" s="61"/>
      <c r="Z1615" s="61"/>
      <c r="AA1615" s="61"/>
      <c r="AB1615" s="61"/>
      <c r="AC1615" s="61"/>
    </row>
    <row r="1616" ht="15.75" customHeight="1">
      <c r="A1616" s="61"/>
      <c r="B1616" s="61"/>
      <c r="C1616" s="61"/>
      <c r="D1616" s="61"/>
      <c r="E1616" s="61"/>
      <c r="F1616" s="61"/>
      <c r="G1616" s="61"/>
      <c r="H1616" s="61"/>
      <c r="I1616" s="61"/>
      <c r="J1616" s="61"/>
      <c r="K1616" s="61"/>
      <c r="L1616" s="61"/>
      <c r="M1616" s="61"/>
      <c r="N1616" s="61"/>
      <c r="O1616" s="61"/>
      <c r="P1616" s="61"/>
      <c r="Q1616" s="61"/>
      <c r="R1616" s="61"/>
      <c r="S1616" s="61"/>
      <c r="T1616" s="61"/>
      <c r="U1616" s="61"/>
      <c r="V1616" s="61"/>
      <c r="W1616" s="61"/>
      <c r="X1616" s="61"/>
      <c r="Y1616" s="61"/>
      <c r="Z1616" s="61"/>
      <c r="AA1616" s="61"/>
      <c r="AB1616" s="61"/>
      <c r="AC1616" s="61"/>
    </row>
    <row r="1617" ht="15.75" customHeight="1">
      <c r="A1617" s="61"/>
      <c r="B1617" s="61"/>
      <c r="C1617" s="61"/>
      <c r="D1617" s="61"/>
      <c r="E1617" s="61"/>
      <c r="F1617" s="61"/>
      <c r="G1617" s="61"/>
      <c r="H1617" s="61"/>
      <c r="I1617" s="61"/>
      <c r="J1617" s="61"/>
      <c r="K1617" s="61"/>
      <c r="L1617" s="61"/>
      <c r="M1617" s="61"/>
      <c r="N1617" s="61"/>
      <c r="O1617" s="61"/>
      <c r="P1617" s="61"/>
      <c r="Q1617" s="61"/>
      <c r="R1617" s="61"/>
      <c r="S1617" s="61"/>
      <c r="T1617" s="61"/>
      <c r="U1617" s="61"/>
      <c r="V1617" s="61"/>
      <c r="W1617" s="61"/>
      <c r="X1617" s="61"/>
      <c r="Y1617" s="61"/>
      <c r="Z1617" s="61"/>
      <c r="AA1617" s="61"/>
      <c r="AB1617" s="61"/>
      <c r="AC1617" s="61"/>
    </row>
    <row r="1618" ht="15.75" customHeight="1">
      <c r="A1618" s="61"/>
      <c r="B1618" s="61"/>
      <c r="C1618" s="61"/>
      <c r="D1618" s="61"/>
      <c r="E1618" s="61"/>
      <c r="F1618" s="61"/>
      <c r="G1618" s="61"/>
      <c r="H1618" s="61"/>
      <c r="I1618" s="61"/>
      <c r="J1618" s="61"/>
      <c r="K1618" s="61"/>
      <c r="L1618" s="61"/>
      <c r="M1618" s="61"/>
      <c r="N1618" s="61"/>
      <c r="O1618" s="61"/>
      <c r="P1618" s="61"/>
      <c r="Q1618" s="61"/>
      <c r="R1618" s="61"/>
      <c r="S1618" s="61"/>
      <c r="T1618" s="61"/>
      <c r="U1618" s="61"/>
      <c r="V1618" s="61"/>
      <c r="W1618" s="61"/>
      <c r="X1618" s="61"/>
      <c r="Y1618" s="61"/>
      <c r="Z1618" s="61"/>
      <c r="AA1618" s="61"/>
      <c r="AB1618" s="61"/>
      <c r="AC1618" s="61"/>
    </row>
    <row r="1619" ht="15.75" customHeight="1">
      <c r="A1619" s="61"/>
      <c r="B1619" s="61"/>
      <c r="C1619" s="61"/>
      <c r="D1619" s="61"/>
      <c r="E1619" s="61"/>
      <c r="F1619" s="61"/>
      <c r="G1619" s="61"/>
      <c r="H1619" s="61"/>
      <c r="I1619" s="61"/>
      <c r="J1619" s="61"/>
      <c r="K1619" s="61"/>
      <c r="L1619" s="61"/>
      <c r="M1619" s="61"/>
      <c r="N1619" s="61"/>
      <c r="O1619" s="61"/>
      <c r="P1619" s="61"/>
      <c r="Q1619" s="61"/>
      <c r="R1619" s="61"/>
      <c r="S1619" s="61"/>
      <c r="T1619" s="61"/>
      <c r="U1619" s="61"/>
      <c r="V1619" s="61"/>
      <c r="W1619" s="61"/>
      <c r="X1619" s="61"/>
      <c r="Y1619" s="61"/>
      <c r="Z1619" s="61"/>
      <c r="AA1619" s="61"/>
      <c r="AB1619" s="61"/>
      <c r="AC1619" s="61"/>
    </row>
    <row r="1620" ht="15.75" customHeight="1">
      <c r="A1620" s="61"/>
      <c r="B1620" s="61"/>
      <c r="C1620" s="61"/>
      <c r="D1620" s="61"/>
      <c r="E1620" s="61"/>
      <c r="F1620" s="61"/>
      <c r="G1620" s="61"/>
      <c r="H1620" s="61"/>
      <c r="I1620" s="61"/>
      <c r="J1620" s="61"/>
      <c r="K1620" s="61"/>
      <c r="L1620" s="61"/>
      <c r="M1620" s="61"/>
      <c r="N1620" s="61"/>
      <c r="O1620" s="61"/>
      <c r="P1620" s="61"/>
      <c r="Q1620" s="61"/>
      <c r="R1620" s="61"/>
      <c r="S1620" s="61"/>
      <c r="T1620" s="61"/>
      <c r="U1620" s="61"/>
      <c r="V1620" s="61"/>
      <c r="W1620" s="61"/>
      <c r="X1620" s="61"/>
      <c r="Y1620" s="61"/>
      <c r="Z1620" s="61"/>
      <c r="AA1620" s="61"/>
      <c r="AB1620" s="61"/>
      <c r="AC1620" s="61"/>
    </row>
    <row r="1621" ht="15.75" customHeight="1">
      <c r="A1621" s="61"/>
      <c r="B1621" s="61"/>
      <c r="C1621" s="61"/>
      <c r="D1621" s="61"/>
      <c r="E1621" s="61"/>
      <c r="F1621" s="61"/>
      <c r="G1621" s="61"/>
      <c r="H1621" s="61"/>
      <c r="I1621" s="61"/>
      <c r="J1621" s="61"/>
      <c r="K1621" s="61"/>
      <c r="L1621" s="61"/>
      <c r="M1621" s="61"/>
      <c r="N1621" s="61"/>
      <c r="O1621" s="61"/>
      <c r="P1621" s="61"/>
      <c r="Q1621" s="61"/>
      <c r="R1621" s="61"/>
      <c r="S1621" s="61"/>
      <c r="T1621" s="61"/>
      <c r="U1621" s="61"/>
      <c r="V1621" s="61"/>
      <c r="W1621" s="61"/>
      <c r="X1621" s="61"/>
      <c r="Y1621" s="61"/>
      <c r="Z1621" s="61"/>
      <c r="AA1621" s="61"/>
      <c r="AB1621" s="61"/>
      <c r="AC1621" s="61"/>
    </row>
    <row r="1622" ht="15.75" customHeight="1">
      <c r="A1622" s="61"/>
      <c r="B1622" s="61"/>
      <c r="C1622" s="61"/>
      <c r="D1622" s="61"/>
      <c r="E1622" s="61"/>
      <c r="F1622" s="61"/>
      <c r="G1622" s="61"/>
      <c r="H1622" s="61"/>
      <c r="I1622" s="61"/>
      <c r="J1622" s="61"/>
      <c r="K1622" s="61"/>
      <c r="L1622" s="61"/>
      <c r="M1622" s="61"/>
      <c r="N1622" s="61"/>
      <c r="O1622" s="61"/>
      <c r="P1622" s="61"/>
      <c r="Q1622" s="61"/>
      <c r="R1622" s="61"/>
      <c r="S1622" s="61"/>
      <c r="T1622" s="61"/>
      <c r="U1622" s="61"/>
      <c r="V1622" s="61"/>
      <c r="W1622" s="61"/>
      <c r="X1622" s="61"/>
      <c r="Y1622" s="61"/>
      <c r="Z1622" s="61"/>
      <c r="AA1622" s="61"/>
      <c r="AB1622" s="61"/>
      <c r="AC1622" s="61"/>
    </row>
    <row r="1623" ht="15.75" customHeight="1">
      <c r="A1623" s="61"/>
      <c r="B1623" s="61"/>
      <c r="C1623" s="61"/>
      <c r="D1623" s="61"/>
      <c r="E1623" s="61"/>
      <c r="F1623" s="61"/>
      <c r="G1623" s="61"/>
      <c r="H1623" s="61"/>
      <c r="I1623" s="61"/>
      <c r="J1623" s="61"/>
      <c r="K1623" s="61"/>
      <c r="L1623" s="61"/>
      <c r="M1623" s="61"/>
      <c r="N1623" s="61"/>
      <c r="O1623" s="61"/>
      <c r="P1623" s="61"/>
      <c r="Q1623" s="61"/>
      <c r="R1623" s="61"/>
      <c r="S1623" s="61"/>
      <c r="T1623" s="61"/>
      <c r="U1623" s="61"/>
      <c r="V1623" s="61"/>
      <c r="W1623" s="61"/>
      <c r="X1623" s="61"/>
      <c r="Y1623" s="61"/>
      <c r="Z1623" s="61"/>
      <c r="AA1623" s="61"/>
      <c r="AB1623" s="61"/>
      <c r="AC1623" s="61"/>
    </row>
    <row r="1624" ht="15.75" customHeight="1">
      <c r="A1624" s="61"/>
      <c r="B1624" s="61"/>
      <c r="C1624" s="61"/>
      <c r="D1624" s="61"/>
      <c r="E1624" s="61"/>
      <c r="F1624" s="61"/>
      <c r="G1624" s="61"/>
      <c r="H1624" s="61"/>
      <c r="I1624" s="61"/>
      <c r="J1624" s="61"/>
      <c r="K1624" s="61"/>
      <c r="L1624" s="61"/>
      <c r="M1624" s="61"/>
      <c r="N1624" s="61"/>
      <c r="O1624" s="61"/>
      <c r="P1624" s="61"/>
      <c r="Q1624" s="61"/>
      <c r="R1624" s="61"/>
      <c r="S1624" s="61"/>
      <c r="T1624" s="61"/>
      <c r="U1624" s="61"/>
      <c r="V1624" s="61"/>
      <c r="W1624" s="61"/>
      <c r="X1624" s="61"/>
      <c r="Y1624" s="61"/>
      <c r="Z1624" s="61"/>
      <c r="AA1624" s="61"/>
      <c r="AB1624" s="61"/>
      <c r="AC1624" s="61"/>
    </row>
    <row r="1625" ht="15.75" customHeight="1">
      <c r="A1625" s="61"/>
      <c r="B1625" s="61"/>
      <c r="C1625" s="61"/>
      <c r="D1625" s="61"/>
      <c r="E1625" s="61"/>
      <c r="F1625" s="61"/>
      <c r="G1625" s="61"/>
      <c r="H1625" s="61"/>
      <c r="I1625" s="61"/>
      <c r="J1625" s="61"/>
      <c r="K1625" s="61"/>
      <c r="L1625" s="61"/>
      <c r="M1625" s="61"/>
      <c r="N1625" s="61"/>
      <c r="O1625" s="61"/>
      <c r="P1625" s="61"/>
      <c r="Q1625" s="61"/>
      <c r="R1625" s="61"/>
      <c r="S1625" s="61"/>
      <c r="T1625" s="61"/>
      <c r="U1625" s="61"/>
      <c r="V1625" s="61"/>
      <c r="W1625" s="61"/>
      <c r="X1625" s="61"/>
      <c r="Y1625" s="61"/>
      <c r="Z1625" s="61"/>
      <c r="AA1625" s="61"/>
      <c r="AB1625" s="61"/>
      <c r="AC1625" s="61"/>
    </row>
    <row r="1626" ht="15.75" customHeight="1">
      <c r="A1626" s="61"/>
      <c r="B1626" s="61"/>
      <c r="C1626" s="61"/>
      <c r="D1626" s="61"/>
      <c r="E1626" s="61"/>
      <c r="F1626" s="61"/>
      <c r="G1626" s="61"/>
      <c r="H1626" s="61"/>
      <c r="I1626" s="61"/>
      <c r="J1626" s="61"/>
      <c r="K1626" s="61"/>
      <c r="L1626" s="61"/>
      <c r="M1626" s="61"/>
      <c r="N1626" s="61"/>
      <c r="O1626" s="61"/>
      <c r="P1626" s="61"/>
      <c r="Q1626" s="61"/>
      <c r="R1626" s="61"/>
      <c r="S1626" s="61"/>
      <c r="T1626" s="61"/>
      <c r="U1626" s="61"/>
      <c r="V1626" s="61"/>
      <c r="W1626" s="61"/>
      <c r="X1626" s="61"/>
      <c r="Y1626" s="61"/>
      <c r="Z1626" s="61"/>
      <c r="AA1626" s="61"/>
      <c r="AB1626" s="61"/>
      <c r="AC1626" s="61"/>
    </row>
    <row r="1627" ht="15.75" customHeight="1">
      <c r="A1627" s="61"/>
      <c r="B1627" s="61"/>
      <c r="C1627" s="61"/>
      <c r="D1627" s="61"/>
      <c r="E1627" s="61"/>
      <c r="F1627" s="61"/>
      <c r="G1627" s="61"/>
      <c r="H1627" s="61"/>
      <c r="I1627" s="61"/>
      <c r="J1627" s="61"/>
      <c r="K1627" s="61"/>
      <c r="L1627" s="61"/>
      <c r="M1627" s="61"/>
      <c r="N1627" s="61"/>
      <c r="O1627" s="61"/>
      <c r="P1627" s="61"/>
      <c r="Q1627" s="61"/>
      <c r="R1627" s="61"/>
      <c r="S1627" s="61"/>
      <c r="T1627" s="61"/>
      <c r="U1627" s="61"/>
      <c r="V1627" s="61"/>
      <c r="W1627" s="61"/>
      <c r="X1627" s="61"/>
      <c r="Y1627" s="61"/>
      <c r="Z1627" s="61"/>
      <c r="AA1627" s="61"/>
      <c r="AB1627" s="61"/>
      <c r="AC1627" s="61"/>
    </row>
    <row r="1628" ht="15.75" customHeight="1">
      <c r="A1628" s="61"/>
      <c r="B1628" s="61"/>
      <c r="C1628" s="61"/>
      <c r="D1628" s="61"/>
      <c r="E1628" s="61"/>
      <c r="F1628" s="61"/>
      <c r="G1628" s="61"/>
      <c r="H1628" s="61"/>
      <c r="I1628" s="61"/>
      <c r="J1628" s="61"/>
      <c r="K1628" s="61"/>
      <c r="L1628" s="61"/>
      <c r="M1628" s="61"/>
      <c r="N1628" s="61"/>
      <c r="O1628" s="61"/>
      <c r="P1628" s="61"/>
      <c r="Q1628" s="61"/>
      <c r="R1628" s="61"/>
      <c r="S1628" s="61"/>
      <c r="T1628" s="61"/>
      <c r="U1628" s="61"/>
      <c r="V1628" s="61"/>
      <c r="W1628" s="61"/>
      <c r="X1628" s="61"/>
      <c r="Y1628" s="61"/>
      <c r="Z1628" s="61"/>
      <c r="AA1628" s="61"/>
      <c r="AB1628" s="61"/>
      <c r="AC1628" s="61"/>
    </row>
    <row r="1629" ht="15.75" customHeight="1">
      <c r="A1629" s="61"/>
      <c r="B1629" s="61"/>
      <c r="C1629" s="61"/>
      <c r="D1629" s="61"/>
      <c r="E1629" s="61"/>
      <c r="F1629" s="61"/>
      <c r="G1629" s="61"/>
      <c r="H1629" s="61"/>
      <c r="I1629" s="61"/>
      <c r="J1629" s="61"/>
      <c r="K1629" s="61"/>
      <c r="L1629" s="61"/>
      <c r="M1629" s="61"/>
      <c r="N1629" s="61"/>
      <c r="O1629" s="61"/>
      <c r="P1629" s="61"/>
      <c r="Q1629" s="61"/>
      <c r="R1629" s="61"/>
      <c r="S1629" s="61"/>
      <c r="T1629" s="61"/>
      <c r="U1629" s="61"/>
      <c r="V1629" s="61"/>
      <c r="W1629" s="61"/>
      <c r="X1629" s="61"/>
      <c r="Y1629" s="61"/>
      <c r="Z1629" s="61"/>
      <c r="AA1629" s="61"/>
      <c r="AB1629" s="61"/>
      <c r="AC1629" s="61"/>
    </row>
    <row r="1630" ht="15.75" customHeight="1">
      <c r="A1630" s="61"/>
      <c r="B1630" s="61"/>
      <c r="C1630" s="61"/>
      <c r="D1630" s="61"/>
      <c r="E1630" s="61"/>
      <c r="F1630" s="61"/>
      <c r="G1630" s="61"/>
      <c r="H1630" s="61"/>
      <c r="I1630" s="61"/>
      <c r="J1630" s="61"/>
      <c r="K1630" s="61"/>
      <c r="L1630" s="61"/>
      <c r="M1630" s="61"/>
      <c r="N1630" s="61"/>
      <c r="O1630" s="61"/>
      <c r="P1630" s="61"/>
      <c r="Q1630" s="61"/>
      <c r="R1630" s="61"/>
      <c r="S1630" s="61"/>
      <c r="T1630" s="61"/>
      <c r="U1630" s="61"/>
      <c r="V1630" s="61"/>
      <c r="W1630" s="61"/>
      <c r="X1630" s="61"/>
      <c r="Y1630" s="61"/>
      <c r="Z1630" s="61"/>
      <c r="AA1630" s="61"/>
      <c r="AB1630" s="61"/>
      <c r="AC1630" s="61"/>
    </row>
    <row r="1631" ht="15.75" customHeight="1">
      <c r="A1631" s="61"/>
      <c r="B1631" s="61"/>
      <c r="C1631" s="61"/>
      <c r="D1631" s="61"/>
      <c r="E1631" s="61"/>
      <c r="F1631" s="61"/>
      <c r="G1631" s="61"/>
      <c r="H1631" s="61"/>
      <c r="I1631" s="61"/>
      <c r="J1631" s="61"/>
      <c r="K1631" s="61"/>
      <c r="L1631" s="61"/>
      <c r="M1631" s="61"/>
      <c r="N1631" s="61"/>
      <c r="O1631" s="61"/>
      <c r="P1631" s="61"/>
      <c r="Q1631" s="61"/>
      <c r="R1631" s="61"/>
      <c r="S1631" s="61"/>
      <c r="T1631" s="61"/>
      <c r="U1631" s="61"/>
      <c r="V1631" s="61"/>
      <c r="W1631" s="61"/>
      <c r="X1631" s="61"/>
      <c r="Y1631" s="61"/>
      <c r="Z1631" s="61"/>
      <c r="AA1631" s="61"/>
      <c r="AB1631" s="61"/>
      <c r="AC1631" s="61"/>
    </row>
    <row r="1632" ht="15.75" customHeight="1">
      <c r="A1632" s="61"/>
      <c r="B1632" s="61"/>
      <c r="C1632" s="61"/>
      <c r="D1632" s="61"/>
      <c r="E1632" s="61"/>
      <c r="F1632" s="61"/>
      <c r="G1632" s="61"/>
      <c r="H1632" s="61"/>
      <c r="I1632" s="61"/>
      <c r="J1632" s="61"/>
      <c r="K1632" s="61"/>
      <c r="L1632" s="61"/>
      <c r="M1632" s="61"/>
      <c r="N1632" s="61"/>
      <c r="O1632" s="61"/>
      <c r="P1632" s="61"/>
      <c r="Q1632" s="61"/>
      <c r="R1632" s="61"/>
      <c r="S1632" s="61"/>
      <c r="T1632" s="61"/>
      <c r="U1632" s="61"/>
      <c r="V1632" s="61"/>
      <c r="W1632" s="61"/>
      <c r="X1632" s="61"/>
      <c r="Y1632" s="61"/>
      <c r="Z1632" s="61"/>
      <c r="AA1632" s="61"/>
      <c r="AB1632" s="61"/>
      <c r="AC1632" s="61"/>
    </row>
    <row r="1633" ht="15.75" customHeight="1">
      <c r="A1633" s="61"/>
      <c r="B1633" s="61"/>
      <c r="C1633" s="61"/>
      <c r="D1633" s="61"/>
      <c r="E1633" s="61"/>
      <c r="F1633" s="61"/>
      <c r="G1633" s="61"/>
      <c r="H1633" s="61"/>
      <c r="I1633" s="61"/>
      <c r="J1633" s="61"/>
      <c r="K1633" s="61"/>
      <c r="L1633" s="61"/>
      <c r="M1633" s="61"/>
      <c r="N1633" s="61"/>
      <c r="O1633" s="61"/>
      <c r="P1633" s="61"/>
      <c r="Q1633" s="61"/>
      <c r="R1633" s="61"/>
      <c r="S1633" s="61"/>
      <c r="T1633" s="61"/>
      <c r="U1633" s="61"/>
      <c r="V1633" s="61"/>
      <c r="W1633" s="61"/>
      <c r="X1633" s="61"/>
      <c r="Y1633" s="61"/>
      <c r="Z1633" s="61"/>
      <c r="AA1633" s="61"/>
      <c r="AB1633" s="61"/>
      <c r="AC1633" s="61"/>
    </row>
    <row r="1634" ht="15.75" customHeight="1">
      <c r="A1634" s="61"/>
      <c r="B1634" s="61"/>
      <c r="C1634" s="61"/>
      <c r="D1634" s="61"/>
      <c r="E1634" s="61"/>
      <c r="F1634" s="61"/>
      <c r="G1634" s="61"/>
      <c r="H1634" s="61"/>
      <c r="I1634" s="61"/>
      <c r="J1634" s="61"/>
      <c r="K1634" s="61"/>
      <c r="L1634" s="61"/>
      <c r="M1634" s="61"/>
      <c r="N1634" s="61"/>
      <c r="O1634" s="61"/>
      <c r="P1634" s="61"/>
      <c r="Q1634" s="61"/>
      <c r="R1634" s="61"/>
      <c r="S1634" s="61"/>
      <c r="T1634" s="61"/>
      <c r="U1634" s="61"/>
      <c r="V1634" s="61"/>
      <c r="W1634" s="61"/>
      <c r="X1634" s="61"/>
      <c r="Y1634" s="61"/>
      <c r="Z1634" s="61"/>
      <c r="AA1634" s="61"/>
      <c r="AB1634" s="61"/>
      <c r="AC1634" s="61"/>
    </row>
    <row r="1635" ht="15.75" customHeight="1">
      <c r="A1635" s="61"/>
      <c r="B1635" s="61"/>
      <c r="C1635" s="61"/>
      <c r="D1635" s="61"/>
      <c r="E1635" s="61"/>
      <c r="F1635" s="61"/>
      <c r="G1635" s="61"/>
      <c r="H1635" s="61"/>
      <c r="I1635" s="61"/>
      <c r="J1635" s="61"/>
      <c r="K1635" s="61"/>
      <c r="L1635" s="61"/>
      <c r="M1635" s="61"/>
      <c r="N1635" s="61"/>
      <c r="O1635" s="61"/>
      <c r="P1635" s="61"/>
      <c r="Q1635" s="61"/>
      <c r="R1635" s="61"/>
      <c r="S1635" s="61"/>
      <c r="T1635" s="61"/>
      <c r="U1635" s="61"/>
      <c r="V1635" s="61"/>
      <c r="W1635" s="61"/>
      <c r="X1635" s="61"/>
      <c r="Y1635" s="61"/>
      <c r="Z1635" s="61"/>
      <c r="AA1635" s="61"/>
      <c r="AB1635" s="61"/>
      <c r="AC1635" s="61"/>
    </row>
    <row r="1636" ht="15.75" customHeight="1">
      <c r="A1636" s="61"/>
      <c r="B1636" s="61"/>
      <c r="C1636" s="61"/>
      <c r="D1636" s="61"/>
      <c r="E1636" s="61"/>
      <c r="F1636" s="61"/>
      <c r="G1636" s="61"/>
      <c r="H1636" s="61"/>
      <c r="I1636" s="61"/>
      <c r="J1636" s="61"/>
      <c r="K1636" s="61"/>
      <c r="L1636" s="61"/>
      <c r="M1636" s="61"/>
      <c r="N1636" s="61"/>
      <c r="O1636" s="61"/>
      <c r="P1636" s="61"/>
      <c r="Q1636" s="61"/>
      <c r="R1636" s="61"/>
      <c r="S1636" s="61"/>
      <c r="T1636" s="61"/>
      <c r="U1636" s="61"/>
      <c r="V1636" s="61"/>
      <c r="W1636" s="61"/>
      <c r="X1636" s="61"/>
      <c r="Y1636" s="61"/>
      <c r="Z1636" s="61"/>
      <c r="AA1636" s="61"/>
      <c r="AB1636" s="61"/>
      <c r="AC1636" s="61"/>
    </row>
    <row r="1637" ht="15.75" customHeight="1">
      <c r="A1637" s="61"/>
      <c r="B1637" s="61"/>
      <c r="C1637" s="61"/>
      <c r="D1637" s="61"/>
      <c r="E1637" s="61"/>
      <c r="F1637" s="61"/>
      <c r="G1637" s="61"/>
      <c r="H1637" s="61"/>
      <c r="I1637" s="61"/>
      <c r="J1637" s="61"/>
      <c r="K1637" s="61"/>
      <c r="L1637" s="61"/>
      <c r="M1637" s="61"/>
      <c r="N1637" s="61"/>
      <c r="O1637" s="61"/>
      <c r="P1637" s="61"/>
      <c r="Q1637" s="61"/>
      <c r="R1637" s="61"/>
      <c r="S1637" s="61"/>
      <c r="T1637" s="61"/>
      <c r="U1637" s="61"/>
      <c r="V1637" s="61"/>
      <c r="W1637" s="61"/>
      <c r="X1637" s="61"/>
      <c r="Y1637" s="61"/>
      <c r="Z1637" s="61"/>
      <c r="AA1637" s="61"/>
      <c r="AB1637" s="61"/>
      <c r="AC1637" s="61"/>
    </row>
    <row r="1638" ht="15.75" customHeight="1">
      <c r="A1638" s="61"/>
      <c r="B1638" s="61"/>
      <c r="C1638" s="61"/>
      <c r="D1638" s="61"/>
      <c r="E1638" s="61"/>
      <c r="F1638" s="61"/>
      <c r="G1638" s="61"/>
      <c r="H1638" s="61"/>
      <c r="I1638" s="61"/>
      <c r="J1638" s="61"/>
      <c r="K1638" s="61"/>
      <c r="L1638" s="61"/>
      <c r="M1638" s="61"/>
      <c r="N1638" s="61"/>
      <c r="O1638" s="61"/>
      <c r="P1638" s="61"/>
      <c r="Q1638" s="61"/>
      <c r="R1638" s="61"/>
      <c r="S1638" s="61"/>
      <c r="T1638" s="61"/>
      <c r="U1638" s="61"/>
      <c r="V1638" s="61"/>
      <c r="W1638" s="61"/>
      <c r="X1638" s="61"/>
      <c r="Y1638" s="61"/>
      <c r="Z1638" s="61"/>
      <c r="AA1638" s="61"/>
      <c r="AB1638" s="61"/>
      <c r="AC1638" s="61"/>
    </row>
    <row r="1639" ht="15.75" customHeight="1">
      <c r="A1639" s="61"/>
      <c r="B1639" s="61"/>
      <c r="C1639" s="61"/>
      <c r="D1639" s="61"/>
      <c r="E1639" s="61"/>
      <c r="F1639" s="61"/>
      <c r="G1639" s="61"/>
      <c r="H1639" s="61"/>
      <c r="I1639" s="61"/>
      <c r="J1639" s="61"/>
      <c r="K1639" s="61"/>
      <c r="L1639" s="61"/>
      <c r="M1639" s="61"/>
      <c r="N1639" s="61"/>
      <c r="O1639" s="61"/>
      <c r="P1639" s="61"/>
      <c r="Q1639" s="61"/>
      <c r="R1639" s="61"/>
      <c r="S1639" s="61"/>
      <c r="T1639" s="61"/>
      <c r="U1639" s="61"/>
      <c r="V1639" s="61"/>
      <c r="W1639" s="61"/>
      <c r="X1639" s="61"/>
      <c r="Y1639" s="61"/>
      <c r="Z1639" s="61"/>
      <c r="AA1639" s="61"/>
      <c r="AB1639" s="61"/>
      <c r="AC1639" s="61"/>
    </row>
    <row r="1640" ht="15.75" customHeight="1">
      <c r="A1640" s="61"/>
      <c r="B1640" s="61"/>
      <c r="C1640" s="61"/>
      <c r="D1640" s="61"/>
      <c r="E1640" s="61"/>
      <c r="F1640" s="61"/>
      <c r="G1640" s="61"/>
      <c r="H1640" s="61"/>
      <c r="I1640" s="61"/>
      <c r="J1640" s="61"/>
      <c r="K1640" s="61"/>
      <c r="L1640" s="61"/>
      <c r="M1640" s="61"/>
      <c r="N1640" s="61"/>
      <c r="O1640" s="61"/>
      <c r="P1640" s="61"/>
      <c r="Q1640" s="61"/>
      <c r="R1640" s="61"/>
      <c r="S1640" s="61"/>
      <c r="T1640" s="61"/>
      <c r="U1640" s="61"/>
      <c r="V1640" s="61"/>
      <c r="W1640" s="61"/>
      <c r="X1640" s="61"/>
      <c r="Y1640" s="61"/>
      <c r="Z1640" s="61"/>
      <c r="AA1640" s="61"/>
      <c r="AB1640" s="61"/>
      <c r="AC1640" s="61"/>
    </row>
    <row r="1641" ht="15.75" customHeight="1">
      <c r="A1641" s="61"/>
      <c r="B1641" s="61"/>
      <c r="C1641" s="61"/>
      <c r="D1641" s="61"/>
      <c r="E1641" s="61"/>
      <c r="F1641" s="61"/>
      <c r="G1641" s="61"/>
      <c r="H1641" s="61"/>
      <c r="I1641" s="61"/>
      <c r="J1641" s="61"/>
      <c r="K1641" s="61"/>
      <c r="L1641" s="61"/>
      <c r="M1641" s="61"/>
      <c r="N1641" s="61"/>
      <c r="O1641" s="61"/>
      <c r="P1641" s="61"/>
      <c r="Q1641" s="61"/>
      <c r="R1641" s="61"/>
      <c r="S1641" s="61"/>
      <c r="T1641" s="61"/>
      <c r="U1641" s="61"/>
      <c r="V1641" s="61"/>
      <c r="W1641" s="61"/>
      <c r="X1641" s="61"/>
      <c r="Y1641" s="61"/>
      <c r="Z1641" s="61"/>
      <c r="AA1641" s="61"/>
      <c r="AB1641" s="61"/>
      <c r="AC1641" s="61"/>
    </row>
    <row r="1642" ht="15.75" customHeight="1">
      <c r="A1642" s="61"/>
      <c r="B1642" s="61"/>
      <c r="C1642" s="61"/>
      <c r="D1642" s="61"/>
      <c r="E1642" s="61"/>
      <c r="F1642" s="61"/>
      <c r="G1642" s="61"/>
      <c r="H1642" s="61"/>
      <c r="I1642" s="61"/>
      <c r="J1642" s="61"/>
      <c r="K1642" s="61"/>
      <c r="L1642" s="61"/>
      <c r="M1642" s="61"/>
      <c r="N1642" s="61"/>
      <c r="O1642" s="61"/>
      <c r="P1642" s="61"/>
      <c r="Q1642" s="61"/>
      <c r="R1642" s="61"/>
      <c r="S1642" s="61"/>
      <c r="T1642" s="61"/>
      <c r="U1642" s="61"/>
      <c r="V1642" s="61"/>
      <c r="W1642" s="61"/>
      <c r="X1642" s="61"/>
      <c r="Y1642" s="61"/>
      <c r="Z1642" s="61"/>
      <c r="AA1642" s="61"/>
      <c r="AB1642" s="61"/>
      <c r="AC1642" s="61"/>
    </row>
    <row r="1643" ht="15.75" customHeight="1">
      <c r="A1643" s="61"/>
      <c r="B1643" s="61"/>
      <c r="C1643" s="61"/>
      <c r="D1643" s="61"/>
      <c r="E1643" s="61"/>
      <c r="F1643" s="61"/>
      <c r="G1643" s="61"/>
      <c r="H1643" s="61"/>
      <c r="I1643" s="61"/>
      <c r="J1643" s="61"/>
      <c r="K1643" s="61"/>
      <c r="L1643" s="61"/>
      <c r="M1643" s="61"/>
      <c r="N1643" s="61"/>
      <c r="O1643" s="61"/>
      <c r="P1643" s="61"/>
      <c r="Q1643" s="61"/>
      <c r="R1643" s="61"/>
      <c r="S1643" s="61"/>
      <c r="T1643" s="61"/>
      <c r="U1643" s="61"/>
      <c r="V1643" s="61"/>
      <c r="W1643" s="61"/>
      <c r="X1643" s="61"/>
      <c r="Y1643" s="61"/>
      <c r="Z1643" s="61"/>
      <c r="AA1643" s="61"/>
      <c r="AB1643" s="61"/>
      <c r="AC1643" s="61"/>
    </row>
    <row r="1644" ht="15.75" customHeight="1">
      <c r="A1644" s="61"/>
      <c r="B1644" s="61"/>
      <c r="C1644" s="61"/>
      <c r="D1644" s="61"/>
      <c r="E1644" s="61"/>
      <c r="F1644" s="61"/>
      <c r="G1644" s="61"/>
      <c r="H1644" s="61"/>
      <c r="I1644" s="61"/>
      <c r="J1644" s="61"/>
      <c r="K1644" s="61"/>
      <c r="L1644" s="61"/>
      <c r="M1644" s="61"/>
      <c r="N1644" s="61"/>
      <c r="O1644" s="61"/>
      <c r="P1644" s="61"/>
      <c r="Q1644" s="61"/>
      <c r="R1644" s="61"/>
      <c r="S1644" s="61"/>
      <c r="T1644" s="61"/>
      <c r="U1644" s="61"/>
      <c r="V1644" s="61"/>
      <c r="W1644" s="61"/>
      <c r="X1644" s="61"/>
      <c r="Y1644" s="61"/>
      <c r="Z1644" s="61"/>
      <c r="AA1644" s="61"/>
      <c r="AB1644" s="61"/>
      <c r="AC1644" s="61"/>
    </row>
    <row r="1645" ht="15.75" customHeight="1">
      <c r="A1645" s="61"/>
      <c r="B1645" s="61"/>
      <c r="C1645" s="61"/>
      <c r="D1645" s="61"/>
      <c r="E1645" s="61"/>
      <c r="F1645" s="61"/>
      <c r="G1645" s="61"/>
      <c r="H1645" s="61"/>
      <c r="I1645" s="61"/>
      <c r="J1645" s="61"/>
      <c r="K1645" s="61"/>
      <c r="L1645" s="61"/>
      <c r="M1645" s="61"/>
      <c r="N1645" s="61"/>
      <c r="O1645" s="61"/>
      <c r="P1645" s="61"/>
      <c r="Q1645" s="61"/>
      <c r="R1645" s="61"/>
      <c r="S1645" s="61"/>
      <c r="T1645" s="61"/>
      <c r="U1645" s="61"/>
      <c r="V1645" s="61"/>
      <c r="W1645" s="61"/>
      <c r="X1645" s="61"/>
      <c r="Y1645" s="61"/>
      <c r="Z1645" s="61"/>
      <c r="AA1645" s="61"/>
      <c r="AB1645" s="61"/>
      <c r="AC1645" s="61"/>
    </row>
    <row r="1646" ht="15.75" customHeight="1">
      <c r="A1646" s="61"/>
      <c r="B1646" s="61"/>
      <c r="C1646" s="61"/>
      <c r="D1646" s="61"/>
      <c r="E1646" s="61"/>
      <c r="F1646" s="61"/>
      <c r="G1646" s="61"/>
      <c r="H1646" s="61"/>
      <c r="I1646" s="61"/>
      <c r="J1646" s="61"/>
      <c r="K1646" s="61"/>
      <c r="L1646" s="61"/>
      <c r="M1646" s="61"/>
      <c r="N1646" s="61"/>
      <c r="O1646" s="61"/>
      <c r="P1646" s="61"/>
      <c r="Q1646" s="61"/>
      <c r="R1646" s="61"/>
      <c r="S1646" s="61"/>
      <c r="T1646" s="61"/>
      <c r="U1646" s="61"/>
      <c r="V1646" s="61"/>
      <c r="W1646" s="61"/>
      <c r="X1646" s="61"/>
      <c r="Y1646" s="61"/>
      <c r="Z1646" s="61"/>
      <c r="AA1646" s="61"/>
      <c r="AB1646" s="61"/>
      <c r="AC1646" s="61"/>
    </row>
    <row r="1647" ht="15.75" customHeight="1">
      <c r="A1647" s="61"/>
      <c r="B1647" s="61"/>
      <c r="C1647" s="61"/>
      <c r="D1647" s="61"/>
      <c r="E1647" s="61"/>
      <c r="F1647" s="61"/>
      <c r="G1647" s="61"/>
      <c r="H1647" s="61"/>
      <c r="I1647" s="61"/>
      <c r="J1647" s="61"/>
      <c r="K1647" s="61"/>
      <c r="L1647" s="61"/>
      <c r="M1647" s="61"/>
      <c r="N1647" s="61"/>
      <c r="O1647" s="61"/>
      <c r="P1647" s="61"/>
      <c r="Q1647" s="61"/>
      <c r="R1647" s="61"/>
      <c r="S1647" s="61"/>
      <c r="T1647" s="61"/>
      <c r="U1647" s="61"/>
      <c r="V1647" s="61"/>
      <c r="W1647" s="61"/>
      <c r="X1647" s="61"/>
      <c r="Y1647" s="61"/>
      <c r="Z1647" s="61"/>
      <c r="AA1647" s="61"/>
      <c r="AB1647" s="61"/>
      <c r="AC1647" s="61"/>
    </row>
    <row r="1648" ht="15.75" customHeight="1">
      <c r="A1648" s="61"/>
      <c r="B1648" s="61"/>
      <c r="C1648" s="61"/>
      <c r="D1648" s="61"/>
      <c r="E1648" s="61"/>
      <c r="F1648" s="61"/>
      <c r="G1648" s="61"/>
      <c r="H1648" s="61"/>
      <c r="I1648" s="61"/>
      <c r="J1648" s="61"/>
      <c r="K1648" s="61"/>
      <c r="L1648" s="61"/>
      <c r="M1648" s="61"/>
      <c r="N1648" s="61"/>
      <c r="O1648" s="61"/>
      <c r="P1648" s="61"/>
      <c r="Q1648" s="61"/>
      <c r="R1648" s="61"/>
      <c r="S1648" s="61"/>
      <c r="T1648" s="61"/>
      <c r="U1648" s="61"/>
      <c r="V1648" s="61"/>
      <c r="W1648" s="61"/>
      <c r="X1648" s="61"/>
      <c r="Y1648" s="61"/>
      <c r="Z1648" s="61"/>
      <c r="AA1648" s="61"/>
      <c r="AB1648" s="61"/>
      <c r="AC1648" s="61"/>
    </row>
    <row r="1649" ht="15.75" customHeight="1">
      <c r="A1649" s="61"/>
      <c r="B1649" s="61"/>
      <c r="C1649" s="61"/>
      <c r="D1649" s="61"/>
      <c r="E1649" s="61"/>
      <c r="F1649" s="61"/>
      <c r="G1649" s="61"/>
      <c r="H1649" s="61"/>
      <c r="I1649" s="61"/>
      <c r="J1649" s="61"/>
      <c r="K1649" s="61"/>
      <c r="L1649" s="61"/>
      <c r="M1649" s="61"/>
      <c r="N1649" s="61"/>
      <c r="O1649" s="61"/>
      <c r="P1649" s="61"/>
      <c r="Q1649" s="61"/>
      <c r="R1649" s="61"/>
      <c r="S1649" s="61"/>
      <c r="T1649" s="61"/>
      <c r="U1649" s="61"/>
      <c r="V1649" s="61"/>
      <c r="W1649" s="61"/>
      <c r="X1649" s="61"/>
      <c r="Y1649" s="61"/>
      <c r="Z1649" s="61"/>
      <c r="AA1649" s="61"/>
      <c r="AB1649" s="61"/>
      <c r="AC1649" s="61"/>
    </row>
    <row r="1650" ht="15.75" customHeight="1">
      <c r="A1650" s="61"/>
      <c r="B1650" s="61"/>
      <c r="C1650" s="61"/>
      <c r="D1650" s="61"/>
      <c r="E1650" s="61"/>
      <c r="F1650" s="61"/>
      <c r="G1650" s="61"/>
      <c r="H1650" s="61"/>
      <c r="I1650" s="61"/>
      <c r="J1650" s="61"/>
      <c r="K1650" s="61"/>
      <c r="L1650" s="61"/>
      <c r="M1650" s="61"/>
      <c r="N1650" s="61"/>
      <c r="O1650" s="61"/>
      <c r="P1650" s="61"/>
      <c r="Q1650" s="61"/>
      <c r="R1650" s="61"/>
      <c r="S1650" s="61"/>
      <c r="T1650" s="61"/>
      <c r="U1650" s="61"/>
      <c r="V1650" s="61"/>
      <c r="W1650" s="61"/>
      <c r="X1650" s="61"/>
      <c r="Y1650" s="61"/>
      <c r="Z1650" s="61"/>
      <c r="AA1650" s="61"/>
      <c r="AB1650" s="61"/>
      <c r="AC1650" s="61"/>
    </row>
    <row r="1651" ht="15.75" customHeight="1">
      <c r="A1651" s="61"/>
      <c r="B1651" s="61"/>
      <c r="C1651" s="61"/>
      <c r="D1651" s="61"/>
      <c r="E1651" s="61"/>
      <c r="F1651" s="61"/>
      <c r="G1651" s="61"/>
      <c r="H1651" s="61"/>
      <c r="I1651" s="61"/>
      <c r="J1651" s="61"/>
      <c r="K1651" s="61"/>
      <c r="L1651" s="61"/>
      <c r="M1651" s="61"/>
      <c r="N1651" s="61"/>
      <c r="O1651" s="61"/>
      <c r="P1651" s="61"/>
      <c r="Q1651" s="61"/>
      <c r="R1651" s="61"/>
      <c r="S1651" s="61"/>
      <c r="T1651" s="61"/>
      <c r="U1651" s="61"/>
      <c r="V1651" s="61"/>
      <c r="W1651" s="61"/>
      <c r="X1651" s="61"/>
      <c r="Y1651" s="61"/>
      <c r="Z1651" s="61"/>
      <c r="AA1651" s="61"/>
      <c r="AB1651" s="61"/>
      <c r="AC1651" s="61"/>
    </row>
    <row r="1652" ht="15.75" customHeight="1">
      <c r="A1652" s="61"/>
      <c r="B1652" s="61"/>
      <c r="C1652" s="61"/>
      <c r="D1652" s="61"/>
      <c r="E1652" s="61"/>
      <c r="F1652" s="61"/>
      <c r="G1652" s="61"/>
      <c r="H1652" s="61"/>
      <c r="I1652" s="61"/>
      <c r="J1652" s="61"/>
      <c r="K1652" s="61"/>
      <c r="L1652" s="61"/>
      <c r="M1652" s="61"/>
      <c r="N1652" s="61"/>
      <c r="O1652" s="61"/>
      <c r="P1652" s="61"/>
      <c r="Q1652" s="61"/>
      <c r="R1652" s="61"/>
      <c r="S1652" s="61"/>
      <c r="T1652" s="61"/>
      <c r="U1652" s="61"/>
      <c r="V1652" s="61"/>
      <c r="W1652" s="61"/>
      <c r="X1652" s="61"/>
      <c r="Y1652" s="61"/>
      <c r="Z1652" s="61"/>
      <c r="AA1652" s="61"/>
      <c r="AB1652" s="61"/>
      <c r="AC1652" s="61"/>
    </row>
    <row r="1653" ht="15.75" customHeight="1">
      <c r="A1653" s="61"/>
      <c r="B1653" s="61"/>
      <c r="C1653" s="61"/>
      <c r="D1653" s="61"/>
      <c r="E1653" s="61"/>
      <c r="F1653" s="61"/>
      <c r="G1653" s="61"/>
      <c r="H1653" s="61"/>
      <c r="I1653" s="61"/>
      <c r="J1653" s="61"/>
      <c r="K1653" s="61"/>
      <c r="L1653" s="61"/>
      <c r="M1653" s="61"/>
      <c r="N1653" s="61"/>
      <c r="O1653" s="61"/>
      <c r="P1653" s="61"/>
      <c r="Q1653" s="61"/>
      <c r="R1653" s="61"/>
      <c r="S1653" s="61"/>
      <c r="T1653" s="61"/>
      <c r="U1653" s="61"/>
      <c r="V1653" s="61"/>
      <c r="W1653" s="61"/>
      <c r="X1653" s="61"/>
      <c r="Y1653" s="61"/>
      <c r="Z1653" s="61"/>
      <c r="AA1653" s="61"/>
      <c r="AB1653" s="61"/>
      <c r="AC1653" s="61"/>
    </row>
    <row r="1654" ht="15.75" customHeight="1">
      <c r="A1654" s="61"/>
      <c r="B1654" s="61"/>
      <c r="C1654" s="61"/>
      <c r="D1654" s="61"/>
      <c r="E1654" s="61"/>
      <c r="F1654" s="61"/>
      <c r="G1654" s="61"/>
      <c r="H1654" s="61"/>
      <c r="I1654" s="61"/>
      <c r="J1654" s="61"/>
      <c r="K1654" s="61"/>
      <c r="L1654" s="61"/>
      <c r="M1654" s="61"/>
      <c r="N1654" s="61"/>
      <c r="O1654" s="61"/>
      <c r="P1654" s="61"/>
      <c r="Q1654" s="61"/>
      <c r="R1654" s="61"/>
      <c r="S1654" s="61"/>
      <c r="T1654" s="61"/>
      <c r="U1654" s="61"/>
      <c r="V1654" s="61"/>
      <c r="W1654" s="61"/>
      <c r="X1654" s="61"/>
      <c r="Y1654" s="61"/>
      <c r="Z1654" s="61"/>
      <c r="AA1654" s="61"/>
      <c r="AB1654" s="61"/>
      <c r="AC1654" s="61"/>
    </row>
    <row r="1655" ht="15.75" customHeight="1">
      <c r="A1655" s="61"/>
      <c r="B1655" s="61"/>
      <c r="C1655" s="61"/>
      <c r="D1655" s="61"/>
      <c r="E1655" s="61"/>
      <c r="F1655" s="61"/>
      <c r="G1655" s="61"/>
      <c r="H1655" s="61"/>
      <c r="I1655" s="61"/>
      <c r="J1655" s="61"/>
      <c r="K1655" s="61"/>
      <c r="L1655" s="61"/>
      <c r="M1655" s="61"/>
      <c r="N1655" s="61"/>
      <c r="O1655" s="61"/>
      <c r="P1655" s="61"/>
      <c r="Q1655" s="61"/>
      <c r="R1655" s="61"/>
      <c r="S1655" s="61"/>
      <c r="T1655" s="61"/>
      <c r="U1655" s="61"/>
      <c r="V1655" s="61"/>
      <c r="W1655" s="61"/>
      <c r="X1655" s="61"/>
      <c r="Y1655" s="61"/>
      <c r="Z1655" s="61"/>
      <c r="AA1655" s="61"/>
      <c r="AB1655" s="61"/>
      <c r="AC1655" s="61"/>
    </row>
    <row r="1656" ht="15.75" customHeight="1">
      <c r="A1656" s="61"/>
      <c r="B1656" s="61"/>
      <c r="C1656" s="61"/>
      <c r="D1656" s="61"/>
      <c r="E1656" s="61"/>
      <c r="F1656" s="61"/>
      <c r="G1656" s="61"/>
      <c r="H1656" s="61"/>
      <c r="I1656" s="61"/>
      <c r="J1656" s="61"/>
      <c r="K1656" s="61"/>
      <c r="L1656" s="61"/>
      <c r="M1656" s="61"/>
      <c r="N1656" s="61"/>
      <c r="O1656" s="61"/>
      <c r="P1656" s="61"/>
      <c r="Q1656" s="61"/>
      <c r="R1656" s="61"/>
      <c r="S1656" s="61"/>
      <c r="T1656" s="61"/>
      <c r="U1656" s="61"/>
      <c r="V1656" s="61"/>
      <c r="W1656" s="61"/>
      <c r="X1656" s="61"/>
      <c r="Y1656" s="61"/>
      <c r="Z1656" s="61"/>
      <c r="AA1656" s="61"/>
      <c r="AB1656" s="61"/>
      <c r="AC1656" s="61"/>
    </row>
    <row r="1657" ht="15.75" customHeight="1">
      <c r="A1657" s="61"/>
      <c r="B1657" s="61"/>
      <c r="C1657" s="61"/>
      <c r="D1657" s="61"/>
      <c r="E1657" s="61"/>
      <c r="F1657" s="61"/>
      <c r="G1657" s="61"/>
      <c r="H1657" s="61"/>
      <c r="I1657" s="61"/>
      <c r="J1657" s="61"/>
      <c r="K1657" s="61"/>
      <c r="L1657" s="61"/>
      <c r="M1657" s="61"/>
      <c r="N1657" s="61"/>
      <c r="O1657" s="61"/>
      <c r="P1657" s="61"/>
      <c r="Q1657" s="61"/>
      <c r="R1657" s="61"/>
      <c r="S1657" s="61"/>
      <c r="T1657" s="61"/>
      <c r="U1657" s="61"/>
      <c r="V1657" s="61"/>
      <c r="W1657" s="61"/>
      <c r="X1657" s="61"/>
      <c r="Y1657" s="61"/>
      <c r="Z1657" s="61"/>
      <c r="AA1657" s="61"/>
      <c r="AB1657" s="61"/>
      <c r="AC1657" s="61"/>
    </row>
    <row r="1658" ht="15.75" customHeight="1">
      <c r="A1658" s="61"/>
      <c r="B1658" s="61"/>
      <c r="C1658" s="61"/>
      <c r="D1658" s="61"/>
      <c r="E1658" s="61"/>
      <c r="F1658" s="61"/>
      <c r="G1658" s="61"/>
      <c r="H1658" s="61"/>
      <c r="I1658" s="61"/>
      <c r="J1658" s="61"/>
      <c r="K1658" s="61"/>
      <c r="L1658" s="61"/>
      <c r="M1658" s="61"/>
      <c r="N1658" s="61"/>
      <c r="O1658" s="61"/>
      <c r="P1658" s="61"/>
      <c r="Q1658" s="61"/>
      <c r="R1658" s="61"/>
      <c r="S1658" s="61"/>
      <c r="T1658" s="61"/>
      <c r="U1658" s="61"/>
      <c r="V1658" s="61"/>
      <c r="W1658" s="61"/>
      <c r="X1658" s="61"/>
      <c r="Y1658" s="61"/>
      <c r="Z1658" s="61"/>
      <c r="AA1658" s="61"/>
      <c r="AB1658" s="61"/>
      <c r="AC1658" s="61"/>
    </row>
    <row r="1659" ht="15.75" customHeight="1">
      <c r="A1659" s="61"/>
      <c r="B1659" s="61"/>
      <c r="C1659" s="61"/>
      <c r="D1659" s="61"/>
      <c r="E1659" s="61"/>
      <c r="F1659" s="61"/>
      <c r="G1659" s="61"/>
      <c r="H1659" s="61"/>
      <c r="I1659" s="61"/>
      <c r="J1659" s="61"/>
      <c r="K1659" s="61"/>
      <c r="L1659" s="61"/>
      <c r="M1659" s="61"/>
      <c r="N1659" s="61"/>
      <c r="O1659" s="61"/>
      <c r="P1659" s="61"/>
      <c r="Q1659" s="61"/>
      <c r="R1659" s="61"/>
      <c r="S1659" s="61"/>
      <c r="T1659" s="61"/>
      <c r="U1659" s="61"/>
      <c r="V1659" s="61"/>
      <c r="W1659" s="61"/>
      <c r="X1659" s="61"/>
      <c r="Y1659" s="61"/>
      <c r="Z1659" s="61"/>
      <c r="AA1659" s="61"/>
      <c r="AB1659" s="61"/>
      <c r="AC1659" s="61"/>
    </row>
    <row r="1660" ht="15.75" customHeight="1">
      <c r="A1660" s="61"/>
      <c r="B1660" s="61"/>
      <c r="C1660" s="61"/>
      <c r="D1660" s="61"/>
      <c r="E1660" s="61"/>
      <c r="F1660" s="61"/>
      <c r="G1660" s="61"/>
      <c r="H1660" s="61"/>
      <c r="I1660" s="61"/>
      <c r="J1660" s="61"/>
      <c r="K1660" s="61"/>
      <c r="L1660" s="61"/>
      <c r="M1660" s="61"/>
      <c r="N1660" s="61"/>
      <c r="O1660" s="61"/>
      <c r="P1660" s="61"/>
      <c r="Q1660" s="61"/>
      <c r="R1660" s="61"/>
      <c r="S1660" s="61"/>
      <c r="T1660" s="61"/>
      <c r="U1660" s="61"/>
      <c r="V1660" s="61"/>
      <c r="W1660" s="61"/>
      <c r="X1660" s="61"/>
      <c r="Y1660" s="61"/>
      <c r="Z1660" s="61"/>
      <c r="AA1660" s="61"/>
      <c r="AB1660" s="61"/>
      <c r="AC1660" s="61"/>
    </row>
    <row r="1661" ht="15.75" customHeight="1">
      <c r="A1661" s="61"/>
      <c r="B1661" s="61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  <c r="O1661" s="61"/>
      <c r="P1661" s="61"/>
      <c r="Q1661" s="61"/>
      <c r="R1661" s="61"/>
      <c r="S1661" s="61"/>
      <c r="T1661" s="61"/>
      <c r="U1661" s="61"/>
      <c r="V1661" s="61"/>
      <c r="W1661" s="61"/>
      <c r="X1661" s="61"/>
      <c r="Y1661" s="61"/>
      <c r="Z1661" s="61"/>
      <c r="AA1661" s="61"/>
      <c r="AB1661" s="61"/>
      <c r="AC1661" s="61"/>
    </row>
    <row r="1662" ht="15.75" customHeight="1">
      <c r="A1662" s="61"/>
      <c r="B1662" s="61"/>
      <c r="C1662" s="61"/>
      <c r="D1662" s="61"/>
      <c r="E1662" s="61"/>
      <c r="F1662" s="61"/>
      <c r="G1662" s="61"/>
      <c r="H1662" s="61"/>
      <c r="I1662" s="61"/>
      <c r="J1662" s="61"/>
      <c r="K1662" s="61"/>
      <c r="L1662" s="61"/>
      <c r="M1662" s="61"/>
      <c r="N1662" s="61"/>
      <c r="O1662" s="61"/>
      <c r="P1662" s="61"/>
      <c r="Q1662" s="61"/>
      <c r="R1662" s="61"/>
      <c r="S1662" s="61"/>
      <c r="T1662" s="61"/>
      <c r="U1662" s="61"/>
      <c r="V1662" s="61"/>
      <c r="W1662" s="61"/>
      <c r="X1662" s="61"/>
      <c r="Y1662" s="61"/>
      <c r="Z1662" s="61"/>
      <c r="AA1662" s="61"/>
      <c r="AB1662" s="61"/>
      <c r="AC1662" s="61"/>
    </row>
    <row r="1663" ht="15.75" customHeight="1">
      <c r="A1663" s="61"/>
      <c r="B1663" s="61"/>
      <c r="C1663" s="61"/>
      <c r="D1663" s="61"/>
      <c r="E1663" s="61"/>
      <c r="F1663" s="61"/>
      <c r="G1663" s="61"/>
      <c r="H1663" s="61"/>
      <c r="I1663" s="61"/>
      <c r="J1663" s="61"/>
      <c r="K1663" s="61"/>
      <c r="L1663" s="61"/>
      <c r="M1663" s="61"/>
      <c r="N1663" s="61"/>
      <c r="O1663" s="61"/>
      <c r="P1663" s="61"/>
      <c r="Q1663" s="61"/>
      <c r="R1663" s="61"/>
      <c r="S1663" s="61"/>
      <c r="T1663" s="61"/>
      <c r="U1663" s="61"/>
      <c r="V1663" s="61"/>
      <c r="W1663" s="61"/>
      <c r="X1663" s="61"/>
      <c r="Y1663" s="61"/>
      <c r="Z1663" s="61"/>
      <c r="AA1663" s="61"/>
      <c r="AB1663" s="61"/>
      <c r="AC1663" s="61"/>
    </row>
    <row r="1664" ht="15.75" customHeight="1">
      <c r="A1664" s="61"/>
      <c r="B1664" s="61"/>
      <c r="C1664" s="61"/>
      <c r="D1664" s="61"/>
      <c r="E1664" s="61"/>
      <c r="F1664" s="61"/>
      <c r="G1664" s="61"/>
      <c r="H1664" s="61"/>
      <c r="I1664" s="61"/>
      <c r="J1664" s="61"/>
      <c r="K1664" s="61"/>
      <c r="L1664" s="61"/>
      <c r="M1664" s="61"/>
      <c r="N1664" s="61"/>
      <c r="O1664" s="61"/>
      <c r="P1664" s="61"/>
      <c r="Q1664" s="61"/>
      <c r="R1664" s="61"/>
      <c r="S1664" s="61"/>
      <c r="T1664" s="61"/>
      <c r="U1664" s="61"/>
      <c r="V1664" s="61"/>
      <c r="W1664" s="61"/>
      <c r="X1664" s="61"/>
      <c r="Y1664" s="61"/>
      <c r="Z1664" s="61"/>
      <c r="AA1664" s="61"/>
      <c r="AB1664" s="61"/>
      <c r="AC1664" s="61"/>
    </row>
    <row r="1665" ht="15.75" customHeight="1">
      <c r="A1665" s="61"/>
      <c r="B1665" s="61"/>
      <c r="C1665" s="61"/>
      <c r="D1665" s="61"/>
      <c r="E1665" s="61"/>
      <c r="F1665" s="61"/>
      <c r="G1665" s="61"/>
      <c r="H1665" s="61"/>
      <c r="I1665" s="61"/>
      <c r="J1665" s="61"/>
      <c r="K1665" s="61"/>
      <c r="L1665" s="61"/>
      <c r="M1665" s="61"/>
      <c r="N1665" s="61"/>
      <c r="O1665" s="61"/>
      <c r="P1665" s="61"/>
      <c r="Q1665" s="61"/>
      <c r="R1665" s="61"/>
      <c r="S1665" s="61"/>
      <c r="T1665" s="61"/>
      <c r="U1665" s="61"/>
      <c r="V1665" s="61"/>
      <c r="W1665" s="61"/>
      <c r="X1665" s="61"/>
      <c r="Y1665" s="61"/>
      <c r="Z1665" s="61"/>
      <c r="AA1665" s="61"/>
      <c r="AB1665" s="61"/>
      <c r="AC1665" s="61"/>
    </row>
    <row r="1666" ht="15.75" customHeight="1">
      <c r="A1666" s="61"/>
      <c r="B1666" s="61"/>
      <c r="C1666" s="61"/>
      <c r="D1666" s="61"/>
      <c r="E1666" s="61"/>
      <c r="F1666" s="61"/>
      <c r="G1666" s="61"/>
      <c r="H1666" s="61"/>
      <c r="I1666" s="61"/>
      <c r="J1666" s="61"/>
      <c r="K1666" s="61"/>
      <c r="L1666" s="61"/>
      <c r="M1666" s="61"/>
      <c r="N1666" s="61"/>
      <c r="O1666" s="61"/>
      <c r="P1666" s="61"/>
      <c r="Q1666" s="61"/>
      <c r="R1666" s="61"/>
      <c r="S1666" s="61"/>
      <c r="T1666" s="61"/>
      <c r="U1666" s="61"/>
      <c r="V1666" s="61"/>
      <c r="W1666" s="61"/>
      <c r="X1666" s="61"/>
      <c r="Y1666" s="61"/>
      <c r="Z1666" s="61"/>
      <c r="AA1666" s="61"/>
      <c r="AB1666" s="61"/>
      <c r="AC1666" s="61"/>
    </row>
    <row r="1667" ht="15.75" customHeight="1">
      <c r="A1667" s="61"/>
      <c r="B1667" s="61"/>
      <c r="C1667" s="61"/>
      <c r="D1667" s="61"/>
      <c r="E1667" s="61"/>
      <c r="F1667" s="61"/>
      <c r="G1667" s="61"/>
      <c r="H1667" s="61"/>
      <c r="I1667" s="61"/>
      <c r="J1667" s="61"/>
      <c r="K1667" s="61"/>
      <c r="L1667" s="61"/>
      <c r="M1667" s="61"/>
      <c r="N1667" s="61"/>
      <c r="O1667" s="61"/>
      <c r="P1667" s="61"/>
      <c r="Q1667" s="61"/>
      <c r="R1667" s="61"/>
      <c r="S1667" s="61"/>
      <c r="T1667" s="61"/>
      <c r="U1667" s="61"/>
      <c r="V1667" s="61"/>
      <c r="W1667" s="61"/>
      <c r="X1667" s="61"/>
      <c r="Y1667" s="61"/>
      <c r="Z1667" s="61"/>
      <c r="AA1667" s="61"/>
      <c r="AB1667" s="61"/>
      <c r="AC1667" s="61"/>
    </row>
    <row r="1668" ht="15.75" customHeight="1">
      <c r="A1668" s="61"/>
      <c r="B1668" s="61"/>
      <c r="C1668" s="61"/>
      <c r="D1668" s="61"/>
      <c r="E1668" s="61"/>
      <c r="F1668" s="61"/>
      <c r="G1668" s="61"/>
      <c r="H1668" s="61"/>
      <c r="I1668" s="61"/>
      <c r="J1668" s="61"/>
      <c r="K1668" s="61"/>
      <c r="L1668" s="61"/>
      <c r="M1668" s="61"/>
      <c r="N1668" s="61"/>
      <c r="O1668" s="61"/>
      <c r="P1668" s="61"/>
      <c r="Q1668" s="61"/>
      <c r="R1668" s="61"/>
      <c r="S1668" s="61"/>
      <c r="T1668" s="61"/>
      <c r="U1668" s="61"/>
      <c r="V1668" s="61"/>
      <c r="W1668" s="61"/>
      <c r="X1668" s="61"/>
      <c r="Y1668" s="61"/>
      <c r="Z1668" s="61"/>
      <c r="AA1668" s="61"/>
      <c r="AB1668" s="61"/>
      <c r="AC1668" s="61"/>
    </row>
    <row r="1669" ht="15.75" customHeight="1">
      <c r="A1669" s="61"/>
      <c r="B1669" s="61"/>
      <c r="C1669" s="61"/>
      <c r="D1669" s="61"/>
      <c r="E1669" s="61"/>
      <c r="F1669" s="61"/>
      <c r="G1669" s="61"/>
      <c r="H1669" s="61"/>
      <c r="I1669" s="61"/>
      <c r="J1669" s="61"/>
      <c r="K1669" s="61"/>
      <c r="L1669" s="61"/>
      <c r="M1669" s="61"/>
      <c r="N1669" s="61"/>
      <c r="O1669" s="61"/>
      <c r="P1669" s="61"/>
      <c r="Q1669" s="61"/>
      <c r="R1669" s="61"/>
      <c r="S1669" s="61"/>
      <c r="T1669" s="61"/>
      <c r="U1669" s="61"/>
      <c r="V1669" s="61"/>
      <c r="W1669" s="61"/>
      <c r="X1669" s="61"/>
      <c r="Y1669" s="61"/>
      <c r="Z1669" s="61"/>
      <c r="AA1669" s="61"/>
      <c r="AB1669" s="61"/>
      <c r="AC1669" s="61"/>
    </row>
    <row r="1670" ht="15.75" customHeight="1">
      <c r="A1670" s="61"/>
      <c r="B1670" s="61"/>
      <c r="C1670" s="61"/>
      <c r="D1670" s="61"/>
      <c r="E1670" s="61"/>
      <c r="F1670" s="61"/>
      <c r="G1670" s="61"/>
      <c r="H1670" s="61"/>
      <c r="I1670" s="61"/>
      <c r="J1670" s="61"/>
      <c r="K1670" s="61"/>
      <c r="L1670" s="61"/>
      <c r="M1670" s="61"/>
      <c r="N1670" s="61"/>
      <c r="O1670" s="61"/>
      <c r="P1670" s="61"/>
      <c r="Q1670" s="61"/>
      <c r="R1670" s="61"/>
      <c r="S1670" s="61"/>
      <c r="T1670" s="61"/>
      <c r="U1670" s="61"/>
      <c r="V1670" s="61"/>
      <c r="W1670" s="61"/>
      <c r="X1670" s="61"/>
      <c r="Y1670" s="61"/>
      <c r="Z1670" s="61"/>
      <c r="AA1670" s="61"/>
      <c r="AB1670" s="61"/>
      <c r="AC1670" s="61"/>
    </row>
    <row r="1671" ht="15.75" customHeight="1">
      <c r="A1671" s="61"/>
      <c r="B1671" s="61"/>
      <c r="C1671" s="61"/>
      <c r="D1671" s="61"/>
      <c r="E1671" s="61"/>
      <c r="F1671" s="61"/>
      <c r="G1671" s="61"/>
      <c r="H1671" s="61"/>
      <c r="I1671" s="61"/>
      <c r="J1671" s="61"/>
      <c r="K1671" s="61"/>
      <c r="L1671" s="61"/>
      <c r="M1671" s="61"/>
      <c r="N1671" s="61"/>
      <c r="O1671" s="61"/>
      <c r="P1671" s="61"/>
      <c r="Q1671" s="61"/>
      <c r="R1671" s="61"/>
      <c r="S1671" s="61"/>
      <c r="T1671" s="61"/>
      <c r="U1671" s="61"/>
      <c r="V1671" s="61"/>
      <c r="W1671" s="61"/>
      <c r="X1671" s="61"/>
      <c r="Y1671" s="61"/>
      <c r="Z1671" s="61"/>
      <c r="AA1671" s="61"/>
      <c r="AB1671" s="61"/>
      <c r="AC1671" s="61"/>
    </row>
    <row r="1672" ht="15.75" customHeight="1">
      <c r="A1672" s="61"/>
      <c r="B1672" s="61"/>
      <c r="C1672" s="61"/>
      <c r="D1672" s="61"/>
      <c r="E1672" s="61"/>
      <c r="F1672" s="61"/>
      <c r="G1672" s="61"/>
      <c r="H1672" s="61"/>
      <c r="I1672" s="61"/>
      <c r="J1672" s="61"/>
      <c r="K1672" s="61"/>
      <c r="L1672" s="61"/>
      <c r="M1672" s="61"/>
      <c r="N1672" s="61"/>
      <c r="O1672" s="61"/>
      <c r="P1672" s="61"/>
      <c r="Q1672" s="61"/>
      <c r="R1672" s="61"/>
      <c r="S1672" s="61"/>
      <c r="T1672" s="61"/>
      <c r="U1672" s="61"/>
      <c r="V1672" s="61"/>
      <c r="W1672" s="61"/>
      <c r="X1672" s="61"/>
      <c r="Y1672" s="61"/>
      <c r="Z1672" s="61"/>
      <c r="AA1672" s="61"/>
      <c r="AB1672" s="61"/>
      <c r="AC1672" s="61"/>
    </row>
    <row r="1673" ht="15.75" customHeight="1">
      <c r="A1673" s="61"/>
      <c r="B1673" s="61"/>
      <c r="C1673" s="61"/>
      <c r="D1673" s="61"/>
      <c r="E1673" s="61"/>
      <c r="F1673" s="61"/>
      <c r="G1673" s="61"/>
      <c r="H1673" s="61"/>
      <c r="I1673" s="61"/>
      <c r="J1673" s="61"/>
      <c r="K1673" s="61"/>
      <c r="L1673" s="61"/>
      <c r="M1673" s="61"/>
      <c r="N1673" s="61"/>
      <c r="O1673" s="61"/>
      <c r="P1673" s="61"/>
      <c r="Q1673" s="61"/>
      <c r="R1673" s="61"/>
      <c r="S1673" s="61"/>
      <c r="T1673" s="61"/>
      <c r="U1673" s="61"/>
      <c r="V1673" s="61"/>
      <c r="W1673" s="61"/>
      <c r="X1673" s="61"/>
      <c r="Y1673" s="61"/>
      <c r="Z1673" s="61"/>
      <c r="AA1673" s="61"/>
      <c r="AB1673" s="61"/>
      <c r="AC1673" s="61"/>
    </row>
    <row r="1674" ht="15.75" customHeight="1">
      <c r="A1674" s="61"/>
      <c r="B1674" s="61"/>
      <c r="C1674" s="61"/>
      <c r="D1674" s="61"/>
      <c r="E1674" s="61"/>
      <c r="F1674" s="61"/>
      <c r="G1674" s="61"/>
      <c r="H1674" s="61"/>
      <c r="I1674" s="61"/>
      <c r="J1674" s="61"/>
      <c r="K1674" s="61"/>
      <c r="L1674" s="61"/>
      <c r="M1674" s="61"/>
      <c r="N1674" s="61"/>
      <c r="O1674" s="61"/>
      <c r="P1674" s="61"/>
      <c r="Q1674" s="61"/>
      <c r="R1674" s="61"/>
      <c r="S1674" s="61"/>
      <c r="T1674" s="61"/>
      <c r="U1674" s="61"/>
      <c r="V1674" s="61"/>
      <c r="W1674" s="61"/>
      <c r="X1674" s="61"/>
      <c r="Y1674" s="61"/>
      <c r="Z1674" s="61"/>
      <c r="AA1674" s="61"/>
      <c r="AB1674" s="61"/>
      <c r="AC1674" s="61"/>
    </row>
    <row r="1675" ht="15.75" customHeight="1">
      <c r="A1675" s="61"/>
      <c r="B1675" s="61"/>
      <c r="C1675" s="61"/>
      <c r="D1675" s="61"/>
      <c r="E1675" s="61"/>
      <c r="F1675" s="61"/>
      <c r="G1675" s="61"/>
      <c r="H1675" s="61"/>
      <c r="I1675" s="61"/>
      <c r="J1675" s="61"/>
      <c r="K1675" s="61"/>
      <c r="L1675" s="61"/>
      <c r="M1675" s="61"/>
      <c r="N1675" s="61"/>
      <c r="O1675" s="61"/>
      <c r="P1675" s="61"/>
      <c r="Q1675" s="61"/>
      <c r="R1675" s="61"/>
      <c r="S1675" s="61"/>
      <c r="T1675" s="61"/>
      <c r="U1675" s="61"/>
      <c r="V1675" s="61"/>
      <c r="W1675" s="61"/>
      <c r="X1675" s="61"/>
      <c r="Y1675" s="61"/>
      <c r="Z1675" s="61"/>
      <c r="AA1675" s="61"/>
      <c r="AB1675" s="61"/>
      <c r="AC1675" s="61"/>
    </row>
    <row r="1676" ht="15.75" customHeight="1">
      <c r="A1676" s="61"/>
      <c r="B1676" s="61"/>
      <c r="C1676" s="61"/>
      <c r="D1676" s="61"/>
      <c r="E1676" s="61"/>
      <c r="F1676" s="61"/>
      <c r="G1676" s="61"/>
      <c r="H1676" s="61"/>
      <c r="I1676" s="61"/>
      <c r="J1676" s="61"/>
      <c r="K1676" s="61"/>
      <c r="L1676" s="61"/>
      <c r="M1676" s="61"/>
      <c r="N1676" s="61"/>
      <c r="O1676" s="61"/>
      <c r="P1676" s="61"/>
      <c r="Q1676" s="61"/>
      <c r="R1676" s="61"/>
      <c r="S1676" s="61"/>
      <c r="T1676" s="61"/>
      <c r="U1676" s="61"/>
      <c r="V1676" s="61"/>
      <c r="W1676" s="61"/>
      <c r="X1676" s="61"/>
      <c r="Y1676" s="61"/>
      <c r="Z1676" s="61"/>
      <c r="AA1676" s="61"/>
      <c r="AB1676" s="61"/>
      <c r="AC1676" s="61"/>
    </row>
    <row r="1677" ht="15.75" customHeight="1">
      <c r="A1677" s="61"/>
      <c r="B1677" s="61"/>
      <c r="C1677" s="61"/>
      <c r="D1677" s="61"/>
      <c r="E1677" s="61"/>
      <c r="F1677" s="61"/>
      <c r="G1677" s="61"/>
      <c r="H1677" s="61"/>
      <c r="I1677" s="61"/>
      <c r="J1677" s="61"/>
      <c r="K1677" s="61"/>
      <c r="L1677" s="61"/>
      <c r="M1677" s="61"/>
      <c r="N1677" s="61"/>
      <c r="O1677" s="61"/>
      <c r="P1677" s="61"/>
      <c r="Q1677" s="61"/>
      <c r="R1677" s="61"/>
      <c r="S1677" s="61"/>
      <c r="T1677" s="61"/>
      <c r="U1677" s="61"/>
      <c r="V1677" s="61"/>
      <c r="W1677" s="61"/>
      <c r="X1677" s="61"/>
      <c r="Y1677" s="61"/>
      <c r="Z1677" s="61"/>
      <c r="AA1677" s="61"/>
      <c r="AB1677" s="61"/>
      <c r="AC1677" s="61"/>
    </row>
    <row r="1678" ht="15.75" customHeight="1">
      <c r="A1678" s="61"/>
      <c r="B1678" s="61"/>
      <c r="C1678" s="61"/>
      <c r="D1678" s="61"/>
      <c r="E1678" s="61"/>
      <c r="F1678" s="61"/>
      <c r="G1678" s="61"/>
      <c r="H1678" s="61"/>
      <c r="I1678" s="61"/>
      <c r="J1678" s="61"/>
      <c r="K1678" s="61"/>
      <c r="L1678" s="61"/>
      <c r="M1678" s="61"/>
      <c r="N1678" s="61"/>
      <c r="O1678" s="61"/>
      <c r="P1678" s="61"/>
      <c r="Q1678" s="61"/>
      <c r="R1678" s="61"/>
      <c r="S1678" s="61"/>
      <c r="T1678" s="61"/>
      <c r="U1678" s="61"/>
      <c r="V1678" s="61"/>
      <c r="W1678" s="61"/>
      <c r="X1678" s="61"/>
      <c r="Y1678" s="61"/>
      <c r="Z1678" s="61"/>
      <c r="AA1678" s="61"/>
      <c r="AB1678" s="61"/>
      <c r="AC1678" s="61"/>
    </row>
    <row r="1679" ht="15.75" customHeight="1">
      <c r="A1679" s="61"/>
      <c r="B1679" s="61"/>
      <c r="C1679" s="61"/>
      <c r="D1679" s="61"/>
      <c r="E1679" s="61"/>
      <c r="F1679" s="61"/>
      <c r="G1679" s="61"/>
      <c r="H1679" s="61"/>
      <c r="I1679" s="61"/>
      <c r="J1679" s="61"/>
      <c r="K1679" s="61"/>
      <c r="L1679" s="61"/>
      <c r="M1679" s="61"/>
      <c r="N1679" s="61"/>
      <c r="O1679" s="61"/>
      <c r="P1679" s="61"/>
      <c r="Q1679" s="61"/>
      <c r="R1679" s="61"/>
      <c r="S1679" s="61"/>
      <c r="T1679" s="61"/>
      <c r="U1679" s="61"/>
      <c r="V1679" s="61"/>
      <c r="W1679" s="61"/>
      <c r="X1679" s="61"/>
      <c r="Y1679" s="61"/>
      <c r="Z1679" s="61"/>
      <c r="AA1679" s="61"/>
      <c r="AB1679" s="61"/>
      <c r="AC1679" s="61"/>
    </row>
    <row r="1680" ht="15.75" customHeight="1">
      <c r="A1680" s="61"/>
      <c r="B1680" s="61"/>
      <c r="C1680" s="61"/>
      <c r="D1680" s="61"/>
      <c r="E1680" s="61"/>
      <c r="F1680" s="61"/>
      <c r="G1680" s="61"/>
      <c r="H1680" s="61"/>
      <c r="I1680" s="61"/>
      <c r="J1680" s="61"/>
      <c r="K1680" s="61"/>
      <c r="L1680" s="61"/>
      <c r="M1680" s="61"/>
      <c r="N1680" s="61"/>
      <c r="O1680" s="61"/>
      <c r="P1680" s="61"/>
      <c r="Q1680" s="61"/>
      <c r="R1680" s="61"/>
      <c r="S1680" s="61"/>
      <c r="T1680" s="61"/>
      <c r="U1680" s="61"/>
      <c r="V1680" s="61"/>
      <c r="W1680" s="61"/>
      <c r="X1680" s="61"/>
      <c r="Y1680" s="61"/>
      <c r="Z1680" s="61"/>
      <c r="AA1680" s="61"/>
      <c r="AB1680" s="61"/>
      <c r="AC1680" s="61"/>
    </row>
    <row r="1681" ht="15.75" customHeight="1">
      <c r="A1681" s="61"/>
      <c r="B1681" s="61"/>
      <c r="C1681" s="61"/>
      <c r="D1681" s="61"/>
      <c r="E1681" s="61"/>
      <c r="F1681" s="61"/>
      <c r="G1681" s="61"/>
      <c r="H1681" s="61"/>
      <c r="I1681" s="61"/>
      <c r="J1681" s="61"/>
      <c r="K1681" s="61"/>
      <c r="L1681" s="61"/>
      <c r="M1681" s="61"/>
      <c r="N1681" s="61"/>
      <c r="O1681" s="61"/>
      <c r="P1681" s="61"/>
      <c r="Q1681" s="61"/>
      <c r="R1681" s="61"/>
      <c r="S1681" s="61"/>
      <c r="T1681" s="61"/>
      <c r="U1681" s="61"/>
      <c r="V1681" s="61"/>
      <c r="W1681" s="61"/>
      <c r="X1681" s="61"/>
      <c r="Y1681" s="61"/>
      <c r="Z1681" s="61"/>
      <c r="AA1681" s="61"/>
      <c r="AB1681" s="61"/>
      <c r="AC1681" s="61"/>
    </row>
    <row r="1682" ht="15.75" customHeight="1">
      <c r="A1682" s="61"/>
      <c r="B1682" s="61"/>
      <c r="C1682" s="61"/>
      <c r="D1682" s="61"/>
      <c r="E1682" s="61"/>
      <c r="F1682" s="61"/>
      <c r="G1682" s="61"/>
      <c r="H1682" s="61"/>
      <c r="I1682" s="61"/>
      <c r="J1682" s="61"/>
      <c r="K1682" s="61"/>
      <c r="L1682" s="61"/>
      <c r="M1682" s="61"/>
      <c r="N1682" s="61"/>
      <c r="O1682" s="61"/>
      <c r="P1682" s="61"/>
      <c r="Q1682" s="61"/>
      <c r="R1682" s="61"/>
      <c r="S1682" s="61"/>
      <c r="T1682" s="61"/>
      <c r="U1682" s="61"/>
      <c r="V1682" s="61"/>
      <c r="W1682" s="61"/>
      <c r="X1682" s="61"/>
      <c r="Y1682" s="61"/>
      <c r="Z1682" s="61"/>
      <c r="AA1682" s="61"/>
      <c r="AB1682" s="61"/>
      <c r="AC1682" s="61"/>
    </row>
    <row r="1683" ht="15.75" customHeight="1">
      <c r="A1683" s="61"/>
      <c r="B1683" s="61"/>
      <c r="C1683" s="61"/>
      <c r="D1683" s="61"/>
      <c r="E1683" s="61"/>
      <c r="F1683" s="61"/>
      <c r="G1683" s="61"/>
      <c r="H1683" s="61"/>
      <c r="I1683" s="61"/>
      <c r="J1683" s="61"/>
      <c r="K1683" s="61"/>
      <c r="L1683" s="61"/>
      <c r="M1683" s="61"/>
      <c r="N1683" s="61"/>
      <c r="O1683" s="61"/>
      <c r="P1683" s="61"/>
      <c r="Q1683" s="61"/>
      <c r="R1683" s="61"/>
      <c r="S1683" s="61"/>
      <c r="T1683" s="61"/>
      <c r="U1683" s="61"/>
      <c r="V1683" s="61"/>
      <c r="W1683" s="61"/>
      <c r="X1683" s="61"/>
      <c r="Y1683" s="61"/>
      <c r="Z1683" s="61"/>
      <c r="AA1683" s="61"/>
      <c r="AB1683" s="61"/>
      <c r="AC1683" s="61"/>
    </row>
    <row r="1684" ht="15.75" customHeight="1">
      <c r="A1684" s="61"/>
      <c r="B1684" s="61"/>
      <c r="C1684" s="61"/>
      <c r="D1684" s="61"/>
      <c r="E1684" s="61"/>
      <c r="F1684" s="61"/>
      <c r="G1684" s="61"/>
      <c r="H1684" s="61"/>
      <c r="I1684" s="61"/>
      <c r="J1684" s="61"/>
      <c r="K1684" s="61"/>
      <c r="L1684" s="61"/>
      <c r="M1684" s="61"/>
      <c r="N1684" s="61"/>
      <c r="O1684" s="61"/>
      <c r="P1684" s="61"/>
      <c r="Q1684" s="61"/>
      <c r="R1684" s="61"/>
      <c r="S1684" s="61"/>
      <c r="T1684" s="61"/>
      <c r="U1684" s="61"/>
      <c r="V1684" s="61"/>
      <c r="W1684" s="61"/>
      <c r="X1684" s="61"/>
      <c r="Y1684" s="61"/>
      <c r="Z1684" s="61"/>
      <c r="AA1684" s="61"/>
      <c r="AB1684" s="61"/>
      <c r="AC1684" s="61"/>
    </row>
    <row r="1685" ht="15.75" customHeight="1">
      <c r="A1685" s="61"/>
      <c r="B1685" s="61"/>
      <c r="C1685" s="61"/>
      <c r="D1685" s="61"/>
      <c r="E1685" s="61"/>
      <c r="F1685" s="61"/>
      <c r="G1685" s="61"/>
      <c r="H1685" s="61"/>
      <c r="I1685" s="61"/>
      <c r="J1685" s="61"/>
      <c r="K1685" s="61"/>
      <c r="L1685" s="61"/>
      <c r="M1685" s="61"/>
      <c r="N1685" s="61"/>
      <c r="O1685" s="61"/>
      <c r="P1685" s="61"/>
      <c r="Q1685" s="61"/>
      <c r="R1685" s="61"/>
      <c r="S1685" s="61"/>
      <c r="T1685" s="61"/>
      <c r="U1685" s="61"/>
      <c r="V1685" s="61"/>
      <c r="W1685" s="61"/>
      <c r="X1685" s="61"/>
      <c r="Y1685" s="61"/>
      <c r="Z1685" s="61"/>
      <c r="AA1685" s="61"/>
      <c r="AB1685" s="61"/>
      <c r="AC1685" s="61"/>
    </row>
    <row r="1686" ht="15.75" customHeight="1">
      <c r="A1686" s="61"/>
      <c r="B1686" s="61"/>
      <c r="C1686" s="61"/>
      <c r="D1686" s="61"/>
      <c r="E1686" s="61"/>
      <c r="F1686" s="61"/>
      <c r="G1686" s="61"/>
      <c r="H1686" s="61"/>
      <c r="I1686" s="61"/>
      <c r="J1686" s="61"/>
      <c r="K1686" s="61"/>
      <c r="L1686" s="61"/>
      <c r="M1686" s="61"/>
      <c r="N1686" s="61"/>
      <c r="O1686" s="61"/>
      <c r="P1686" s="61"/>
      <c r="Q1686" s="61"/>
      <c r="R1686" s="61"/>
      <c r="S1686" s="61"/>
      <c r="T1686" s="61"/>
      <c r="U1686" s="61"/>
      <c r="V1686" s="61"/>
      <c r="W1686" s="61"/>
      <c r="X1686" s="61"/>
      <c r="Y1686" s="61"/>
      <c r="Z1686" s="61"/>
      <c r="AA1686" s="61"/>
      <c r="AB1686" s="61"/>
      <c r="AC1686" s="61"/>
    </row>
    <row r="1687" ht="15.75" customHeight="1">
      <c r="A1687" s="61"/>
      <c r="B1687" s="61"/>
      <c r="C1687" s="61"/>
      <c r="D1687" s="61"/>
      <c r="E1687" s="61"/>
      <c r="F1687" s="61"/>
      <c r="G1687" s="61"/>
      <c r="H1687" s="61"/>
      <c r="I1687" s="61"/>
      <c r="J1687" s="61"/>
      <c r="K1687" s="61"/>
      <c r="L1687" s="61"/>
      <c r="M1687" s="61"/>
      <c r="N1687" s="61"/>
      <c r="O1687" s="61"/>
      <c r="P1687" s="61"/>
      <c r="Q1687" s="61"/>
      <c r="R1687" s="61"/>
      <c r="S1687" s="61"/>
      <c r="T1687" s="61"/>
      <c r="U1687" s="61"/>
      <c r="V1687" s="61"/>
      <c r="W1687" s="61"/>
      <c r="X1687" s="61"/>
      <c r="Y1687" s="61"/>
      <c r="Z1687" s="61"/>
      <c r="AA1687" s="61"/>
      <c r="AB1687" s="61"/>
      <c r="AC1687" s="61"/>
    </row>
    <row r="1688" ht="15.75" customHeight="1">
      <c r="A1688" s="61"/>
      <c r="B1688" s="61"/>
      <c r="C1688" s="61"/>
      <c r="D1688" s="61"/>
      <c r="E1688" s="61"/>
      <c r="F1688" s="61"/>
      <c r="G1688" s="61"/>
      <c r="H1688" s="61"/>
      <c r="I1688" s="61"/>
      <c r="J1688" s="61"/>
      <c r="K1688" s="61"/>
      <c r="L1688" s="61"/>
      <c r="M1688" s="61"/>
      <c r="N1688" s="61"/>
      <c r="O1688" s="61"/>
      <c r="P1688" s="61"/>
      <c r="Q1688" s="61"/>
      <c r="R1688" s="61"/>
      <c r="S1688" s="61"/>
      <c r="T1688" s="61"/>
      <c r="U1688" s="61"/>
      <c r="V1688" s="61"/>
      <c r="W1688" s="61"/>
      <c r="X1688" s="61"/>
      <c r="Y1688" s="61"/>
      <c r="Z1688" s="61"/>
      <c r="AA1688" s="61"/>
      <c r="AB1688" s="61"/>
      <c r="AC1688" s="61"/>
    </row>
    <row r="1689" ht="15.75" customHeight="1">
      <c r="A1689" s="61"/>
      <c r="B1689" s="61"/>
      <c r="C1689" s="61"/>
      <c r="D1689" s="61"/>
      <c r="E1689" s="61"/>
      <c r="F1689" s="61"/>
      <c r="G1689" s="61"/>
      <c r="H1689" s="61"/>
      <c r="I1689" s="61"/>
      <c r="J1689" s="61"/>
      <c r="K1689" s="61"/>
      <c r="L1689" s="61"/>
      <c r="M1689" s="61"/>
      <c r="N1689" s="61"/>
      <c r="O1689" s="61"/>
      <c r="P1689" s="61"/>
      <c r="Q1689" s="61"/>
      <c r="R1689" s="61"/>
      <c r="S1689" s="61"/>
      <c r="T1689" s="61"/>
      <c r="U1689" s="61"/>
      <c r="V1689" s="61"/>
      <c r="W1689" s="61"/>
      <c r="X1689" s="61"/>
      <c r="Y1689" s="61"/>
      <c r="Z1689" s="61"/>
      <c r="AA1689" s="61"/>
      <c r="AB1689" s="61"/>
      <c r="AC1689" s="61"/>
    </row>
    <row r="1690" ht="15.75" customHeight="1">
      <c r="A1690" s="61"/>
      <c r="B1690" s="61"/>
      <c r="C1690" s="61"/>
      <c r="D1690" s="61"/>
      <c r="E1690" s="61"/>
      <c r="F1690" s="61"/>
      <c r="G1690" s="61"/>
      <c r="H1690" s="61"/>
      <c r="I1690" s="61"/>
      <c r="J1690" s="61"/>
      <c r="K1690" s="61"/>
      <c r="L1690" s="61"/>
      <c r="M1690" s="61"/>
      <c r="N1690" s="61"/>
      <c r="O1690" s="61"/>
      <c r="P1690" s="61"/>
      <c r="Q1690" s="61"/>
      <c r="R1690" s="61"/>
      <c r="S1690" s="61"/>
      <c r="T1690" s="61"/>
      <c r="U1690" s="61"/>
      <c r="V1690" s="61"/>
      <c r="W1690" s="61"/>
      <c r="X1690" s="61"/>
      <c r="Y1690" s="61"/>
      <c r="Z1690" s="61"/>
      <c r="AA1690" s="61"/>
      <c r="AB1690" s="61"/>
      <c r="AC1690" s="61"/>
    </row>
    <row r="1691" ht="15.75" customHeight="1">
      <c r="A1691" s="61"/>
      <c r="B1691" s="61"/>
      <c r="C1691" s="61"/>
      <c r="D1691" s="61"/>
      <c r="E1691" s="61"/>
      <c r="F1691" s="61"/>
      <c r="G1691" s="61"/>
      <c r="H1691" s="61"/>
      <c r="I1691" s="61"/>
      <c r="J1691" s="61"/>
      <c r="K1691" s="61"/>
      <c r="L1691" s="61"/>
      <c r="M1691" s="61"/>
      <c r="N1691" s="61"/>
      <c r="O1691" s="61"/>
      <c r="P1691" s="61"/>
      <c r="Q1691" s="61"/>
      <c r="R1691" s="61"/>
      <c r="S1691" s="61"/>
      <c r="T1691" s="61"/>
      <c r="U1691" s="61"/>
      <c r="V1691" s="61"/>
      <c r="W1691" s="61"/>
      <c r="X1691" s="61"/>
      <c r="Y1691" s="61"/>
      <c r="Z1691" s="61"/>
      <c r="AA1691" s="61"/>
      <c r="AB1691" s="61"/>
      <c r="AC1691" s="61"/>
    </row>
    <row r="1692" ht="15.75" customHeight="1">
      <c r="A1692" s="61"/>
      <c r="B1692" s="61"/>
      <c r="C1692" s="61"/>
      <c r="D1692" s="61"/>
      <c r="E1692" s="61"/>
      <c r="F1692" s="61"/>
      <c r="G1692" s="61"/>
      <c r="H1692" s="61"/>
      <c r="I1692" s="61"/>
      <c r="J1692" s="61"/>
      <c r="K1692" s="61"/>
      <c r="L1692" s="61"/>
      <c r="M1692" s="61"/>
      <c r="N1692" s="61"/>
      <c r="O1692" s="61"/>
      <c r="P1692" s="61"/>
      <c r="Q1692" s="61"/>
      <c r="R1692" s="61"/>
      <c r="S1692" s="61"/>
      <c r="T1692" s="61"/>
      <c r="U1692" s="61"/>
      <c r="V1692" s="61"/>
      <c r="W1692" s="61"/>
      <c r="X1692" s="61"/>
      <c r="Y1692" s="61"/>
      <c r="Z1692" s="61"/>
      <c r="AA1692" s="61"/>
      <c r="AB1692" s="61"/>
      <c r="AC1692" s="61"/>
    </row>
    <row r="1693" ht="15.75" customHeight="1">
      <c r="A1693" s="61"/>
      <c r="B1693" s="61"/>
      <c r="C1693" s="61"/>
      <c r="D1693" s="61"/>
      <c r="E1693" s="61"/>
      <c r="F1693" s="61"/>
      <c r="G1693" s="61"/>
      <c r="H1693" s="61"/>
      <c r="I1693" s="61"/>
      <c r="J1693" s="61"/>
      <c r="K1693" s="61"/>
      <c r="L1693" s="61"/>
      <c r="M1693" s="61"/>
      <c r="N1693" s="61"/>
      <c r="O1693" s="61"/>
      <c r="P1693" s="61"/>
      <c r="Q1693" s="61"/>
      <c r="R1693" s="61"/>
      <c r="S1693" s="61"/>
      <c r="T1693" s="61"/>
      <c r="U1693" s="61"/>
      <c r="V1693" s="61"/>
      <c r="W1693" s="61"/>
      <c r="X1693" s="61"/>
      <c r="Y1693" s="61"/>
      <c r="Z1693" s="61"/>
      <c r="AA1693" s="61"/>
      <c r="AB1693" s="61"/>
      <c r="AC1693" s="61"/>
    </row>
    <row r="1694" ht="15.75" customHeight="1">
      <c r="A1694" s="61"/>
      <c r="B1694" s="61"/>
      <c r="C1694" s="61"/>
      <c r="D1694" s="61"/>
      <c r="E1694" s="61"/>
      <c r="F1694" s="61"/>
      <c r="G1694" s="61"/>
      <c r="H1694" s="61"/>
      <c r="I1694" s="61"/>
      <c r="J1694" s="61"/>
      <c r="K1694" s="61"/>
      <c r="L1694" s="61"/>
      <c r="M1694" s="61"/>
      <c r="N1694" s="61"/>
      <c r="O1694" s="61"/>
      <c r="P1694" s="61"/>
      <c r="Q1694" s="61"/>
      <c r="R1694" s="61"/>
      <c r="S1694" s="61"/>
      <c r="T1694" s="61"/>
      <c r="U1694" s="61"/>
      <c r="V1694" s="61"/>
      <c r="W1694" s="61"/>
      <c r="X1694" s="61"/>
      <c r="Y1694" s="61"/>
      <c r="Z1694" s="61"/>
      <c r="AA1694" s="61"/>
      <c r="AB1694" s="61"/>
      <c r="AC1694" s="61"/>
    </row>
    <row r="1695" ht="15.75" customHeight="1">
      <c r="A1695" s="61"/>
      <c r="B1695" s="61"/>
      <c r="C1695" s="61"/>
      <c r="D1695" s="61"/>
      <c r="E1695" s="61"/>
      <c r="F1695" s="61"/>
      <c r="G1695" s="61"/>
      <c r="H1695" s="61"/>
      <c r="I1695" s="61"/>
      <c r="J1695" s="61"/>
      <c r="K1695" s="61"/>
      <c r="L1695" s="61"/>
      <c r="M1695" s="61"/>
      <c r="N1695" s="61"/>
      <c r="O1695" s="61"/>
      <c r="P1695" s="61"/>
      <c r="Q1695" s="61"/>
      <c r="R1695" s="61"/>
      <c r="S1695" s="61"/>
      <c r="T1695" s="61"/>
      <c r="U1695" s="61"/>
      <c r="V1695" s="61"/>
      <c r="W1695" s="61"/>
      <c r="X1695" s="61"/>
      <c r="Y1695" s="61"/>
      <c r="Z1695" s="61"/>
      <c r="AA1695" s="61"/>
      <c r="AB1695" s="61"/>
      <c r="AC1695" s="61"/>
    </row>
    <row r="1696" ht="15.75" customHeight="1">
      <c r="A1696" s="61"/>
      <c r="B1696" s="61"/>
      <c r="C1696" s="61"/>
      <c r="D1696" s="61"/>
      <c r="E1696" s="61"/>
      <c r="F1696" s="61"/>
      <c r="G1696" s="61"/>
      <c r="H1696" s="61"/>
      <c r="I1696" s="61"/>
      <c r="J1696" s="61"/>
      <c r="K1696" s="61"/>
      <c r="L1696" s="61"/>
      <c r="M1696" s="61"/>
      <c r="N1696" s="61"/>
      <c r="O1696" s="61"/>
      <c r="P1696" s="61"/>
      <c r="Q1696" s="61"/>
      <c r="R1696" s="61"/>
      <c r="S1696" s="61"/>
      <c r="T1696" s="61"/>
      <c r="U1696" s="61"/>
      <c r="V1696" s="61"/>
      <c r="W1696" s="61"/>
      <c r="X1696" s="61"/>
      <c r="Y1696" s="61"/>
      <c r="Z1696" s="61"/>
      <c r="AA1696" s="61"/>
      <c r="AB1696" s="61"/>
      <c r="AC1696" s="61"/>
    </row>
    <row r="1697" ht="15.75" customHeight="1">
      <c r="A1697" s="61"/>
      <c r="B1697" s="61"/>
      <c r="C1697" s="61"/>
      <c r="D1697" s="61"/>
      <c r="E1697" s="61"/>
      <c r="F1697" s="61"/>
      <c r="G1697" s="61"/>
      <c r="H1697" s="61"/>
      <c r="I1697" s="61"/>
      <c r="J1697" s="61"/>
      <c r="K1697" s="61"/>
      <c r="L1697" s="61"/>
      <c r="M1697" s="61"/>
      <c r="N1697" s="61"/>
      <c r="O1697" s="61"/>
      <c r="P1697" s="61"/>
      <c r="Q1697" s="61"/>
      <c r="R1697" s="61"/>
      <c r="S1697" s="61"/>
      <c r="T1697" s="61"/>
      <c r="U1697" s="61"/>
      <c r="V1697" s="61"/>
      <c r="W1697" s="61"/>
      <c r="X1697" s="61"/>
      <c r="Y1697" s="61"/>
      <c r="Z1697" s="61"/>
      <c r="AA1697" s="61"/>
      <c r="AB1697" s="61"/>
      <c r="AC1697" s="61"/>
    </row>
    <row r="1698" ht="15.75" customHeight="1">
      <c r="A1698" s="61"/>
      <c r="B1698" s="61"/>
      <c r="C1698" s="61"/>
      <c r="D1698" s="61"/>
      <c r="E1698" s="61"/>
      <c r="F1698" s="61"/>
      <c r="G1698" s="61"/>
      <c r="H1698" s="61"/>
      <c r="I1698" s="61"/>
      <c r="J1698" s="61"/>
      <c r="K1698" s="61"/>
      <c r="L1698" s="61"/>
      <c r="M1698" s="61"/>
      <c r="N1698" s="61"/>
      <c r="O1698" s="61"/>
      <c r="P1698" s="61"/>
      <c r="Q1698" s="61"/>
      <c r="R1698" s="61"/>
      <c r="S1698" s="61"/>
      <c r="T1698" s="61"/>
      <c r="U1698" s="61"/>
      <c r="V1698" s="61"/>
      <c r="W1698" s="61"/>
      <c r="X1698" s="61"/>
      <c r="Y1698" s="61"/>
      <c r="Z1698" s="61"/>
      <c r="AA1698" s="61"/>
      <c r="AB1698" s="61"/>
      <c r="AC1698" s="61"/>
    </row>
    <row r="1699" ht="15.75" customHeight="1">
      <c r="A1699" s="61"/>
      <c r="B1699" s="61"/>
      <c r="C1699" s="61"/>
      <c r="D1699" s="61"/>
      <c r="E1699" s="61"/>
      <c r="F1699" s="61"/>
      <c r="G1699" s="61"/>
      <c r="H1699" s="61"/>
      <c r="I1699" s="61"/>
      <c r="J1699" s="61"/>
      <c r="K1699" s="61"/>
      <c r="L1699" s="61"/>
      <c r="M1699" s="61"/>
      <c r="N1699" s="61"/>
      <c r="O1699" s="61"/>
      <c r="P1699" s="61"/>
      <c r="Q1699" s="61"/>
      <c r="R1699" s="61"/>
      <c r="S1699" s="61"/>
      <c r="T1699" s="61"/>
      <c r="U1699" s="61"/>
      <c r="V1699" s="61"/>
      <c r="W1699" s="61"/>
      <c r="X1699" s="61"/>
      <c r="Y1699" s="61"/>
      <c r="Z1699" s="61"/>
      <c r="AA1699" s="61"/>
      <c r="AB1699" s="61"/>
      <c r="AC1699" s="61"/>
    </row>
    <row r="1700" ht="15.75" customHeight="1">
      <c r="A1700" s="61"/>
      <c r="B1700" s="61"/>
      <c r="C1700" s="61"/>
      <c r="D1700" s="61"/>
      <c r="E1700" s="61"/>
      <c r="F1700" s="61"/>
      <c r="G1700" s="61"/>
      <c r="H1700" s="61"/>
      <c r="I1700" s="61"/>
      <c r="J1700" s="61"/>
      <c r="K1700" s="61"/>
      <c r="L1700" s="61"/>
      <c r="M1700" s="61"/>
      <c r="N1700" s="61"/>
      <c r="O1700" s="61"/>
      <c r="P1700" s="61"/>
      <c r="Q1700" s="61"/>
      <c r="R1700" s="61"/>
      <c r="S1700" s="61"/>
      <c r="T1700" s="61"/>
      <c r="U1700" s="61"/>
      <c r="V1700" s="61"/>
      <c r="W1700" s="61"/>
      <c r="X1700" s="61"/>
      <c r="Y1700" s="61"/>
      <c r="Z1700" s="61"/>
      <c r="AA1700" s="61"/>
      <c r="AB1700" s="61"/>
      <c r="AC1700" s="61"/>
    </row>
    <row r="1701" ht="15.75" customHeight="1">
      <c r="A1701" s="61"/>
      <c r="B1701" s="61"/>
      <c r="C1701" s="61"/>
      <c r="D1701" s="61"/>
      <c r="E1701" s="61"/>
      <c r="F1701" s="61"/>
      <c r="G1701" s="61"/>
      <c r="H1701" s="61"/>
      <c r="I1701" s="61"/>
      <c r="J1701" s="61"/>
      <c r="K1701" s="61"/>
      <c r="L1701" s="61"/>
      <c r="M1701" s="61"/>
      <c r="N1701" s="61"/>
      <c r="O1701" s="61"/>
      <c r="P1701" s="61"/>
      <c r="Q1701" s="61"/>
      <c r="R1701" s="61"/>
      <c r="S1701" s="61"/>
      <c r="T1701" s="61"/>
      <c r="U1701" s="61"/>
      <c r="V1701" s="61"/>
      <c r="W1701" s="61"/>
      <c r="X1701" s="61"/>
      <c r="Y1701" s="61"/>
      <c r="Z1701" s="61"/>
      <c r="AA1701" s="61"/>
      <c r="AB1701" s="61"/>
      <c r="AC1701" s="61"/>
    </row>
    <row r="1702" ht="15.75" customHeight="1">
      <c r="A1702" s="61"/>
      <c r="B1702" s="61"/>
      <c r="C1702" s="61"/>
      <c r="D1702" s="61"/>
      <c r="E1702" s="61"/>
      <c r="F1702" s="61"/>
      <c r="G1702" s="61"/>
      <c r="H1702" s="61"/>
      <c r="I1702" s="61"/>
      <c r="J1702" s="61"/>
      <c r="K1702" s="61"/>
      <c r="L1702" s="61"/>
      <c r="M1702" s="61"/>
      <c r="N1702" s="61"/>
      <c r="O1702" s="61"/>
      <c r="P1702" s="61"/>
      <c r="Q1702" s="61"/>
      <c r="R1702" s="61"/>
      <c r="S1702" s="61"/>
      <c r="T1702" s="61"/>
      <c r="U1702" s="61"/>
      <c r="V1702" s="61"/>
      <c r="W1702" s="61"/>
      <c r="X1702" s="61"/>
      <c r="Y1702" s="61"/>
      <c r="Z1702" s="61"/>
      <c r="AA1702" s="61"/>
      <c r="AB1702" s="61"/>
      <c r="AC1702" s="61"/>
    </row>
    <row r="1703" ht="15.75" customHeight="1">
      <c r="A1703" s="61"/>
      <c r="B1703" s="61"/>
      <c r="C1703" s="61"/>
      <c r="D1703" s="61"/>
      <c r="E1703" s="61"/>
      <c r="F1703" s="61"/>
      <c r="G1703" s="61"/>
      <c r="H1703" s="61"/>
      <c r="I1703" s="61"/>
      <c r="J1703" s="61"/>
      <c r="K1703" s="61"/>
      <c r="L1703" s="61"/>
      <c r="M1703" s="61"/>
      <c r="N1703" s="61"/>
      <c r="O1703" s="61"/>
      <c r="P1703" s="61"/>
      <c r="Q1703" s="61"/>
      <c r="R1703" s="61"/>
      <c r="S1703" s="61"/>
      <c r="T1703" s="61"/>
      <c r="U1703" s="61"/>
      <c r="V1703" s="61"/>
      <c r="W1703" s="61"/>
      <c r="X1703" s="61"/>
      <c r="Y1703" s="61"/>
      <c r="Z1703" s="61"/>
      <c r="AA1703" s="61"/>
      <c r="AB1703" s="61"/>
      <c r="AC1703" s="61"/>
    </row>
    <row r="1704" ht="15.75" customHeight="1">
      <c r="A1704" s="61"/>
      <c r="B1704" s="61"/>
      <c r="C1704" s="61"/>
      <c r="D1704" s="61"/>
      <c r="E1704" s="61"/>
      <c r="F1704" s="61"/>
      <c r="G1704" s="61"/>
      <c r="H1704" s="61"/>
      <c r="I1704" s="61"/>
      <c r="J1704" s="61"/>
      <c r="K1704" s="61"/>
      <c r="L1704" s="61"/>
      <c r="M1704" s="61"/>
      <c r="N1704" s="61"/>
      <c r="O1704" s="61"/>
      <c r="P1704" s="61"/>
      <c r="Q1704" s="61"/>
      <c r="R1704" s="61"/>
      <c r="S1704" s="61"/>
      <c r="T1704" s="61"/>
      <c r="U1704" s="61"/>
      <c r="V1704" s="61"/>
      <c r="W1704" s="61"/>
      <c r="X1704" s="61"/>
      <c r="Y1704" s="61"/>
      <c r="Z1704" s="61"/>
      <c r="AA1704" s="61"/>
      <c r="AB1704" s="61"/>
      <c r="AC1704" s="61"/>
    </row>
    <row r="1705" ht="15.75" customHeight="1">
      <c r="A1705" s="61"/>
      <c r="B1705" s="61"/>
      <c r="C1705" s="61"/>
      <c r="D1705" s="61"/>
      <c r="E1705" s="61"/>
      <c r="F1705" s="61"/>
      <c r="G1705" s="61"/>
      <c r="H1705" s="61"/>
      <c r="I1705" s="61"/>
      <c r="J1705" s="61"/>
      <c r="K1705" s="61"/>
      <c r="L1705" s="61"/>
      <c r="M1705" s="61"/>
      <c r="N1705" s="61"/>
      <c r="O1705" s="61"/>
      <c r="P1705" s="61"/>
      <c r="Q1705" s="61"/>
      <c r="R1705" s="61"/>
      <c r="S1705" s="61"/>
      <c r="T1705" s="61"/>
      <c r="U1705" s="61"/>
      <c r="V1705" s="61"/>
      <c r="W1705" s="61"/>
      <c r="X1705" s="61"/>
      <c r="Y1705" s="61"/>
      <c r="Z1705" s="61"/>
      <c r="AA1705" s="61"/>
      <c r="AB1705" s="61"/>
      <c r="AC1705" s="61"/>
    </row>
    <row r="1706" ht="15.75" customHeight="1">
      <c r="A1706" s="61"/>
      <c r="B1706" s="61"/>
      <c r="C1706" s="61"/>
      <c r="D1706" s="61"/>
      <c r="E1706" s="61"/>
      <c r="F1706" s="61"/>
      <c r="G1706" s="61"/>
      <c r="H1706" s="61"/>
      <c r="I1706" s="61"/>
      <c r="J1706" s="61"/>
      <c r="K1706" s="61"/>
      <c r="L1706" s="61"/>
      <c r="M1706" s="61"/>
      <c r="N1706" s="61"/>
      <c r="O1706" s="61"/>
      <c r="P1706" s="61"/>
      <c r="Q1706" s="61"/>
      <c r="R1706" s="61"/>
      <c r="S1706" s="61"/>
      <c r="T1706" s="61"/>
      <c r="U1706" s="61"/>
      <c r="V1706" s="61"/>
      <c r="W1706" s="61"/>
      <c r="X1706" s="61"/>
      <c r="Y1706" s="61"/>
      <c r="Z1706" s="61"/>
      <c r="AA1706" s="61"/>
      <c r="AB1706" s="61"/>
      <c r="AC1706" s="61"/>
    </row>
    <row r="1707" ht="15.75" customHeight="1">
      <c r="A1707" s="61"/>
      <c r="B1707" s="61"/>
      <c r="C1707" s="61"/>
      <c r="D1707" s="61"/>
      <c r="E1707" s="61"/>
      <c r="F1707" s="61"/>
      <c r="G1707" s="61"/>
      <c r="H1707" s="61"/>
      <c r="I1707" s="61"/>
      <c r="J1707" s="61"/>
      <c r="K1707" s="61"/>
      <c r="L1707" s="61"/>
      <c r="M1707" s="61"/>
      <c r="N1707" s="61"/>
      <c r="O1707" s="61"/>
      <c r="P1707" s="61"/>
      <c r="Q1707" s="61"/>
      <c r="R1707" s="61"/>
      <c r="S1707" s="61"/>
      <c r="T1707" s="61"/>
      <c r="U1707" s="61"/>
      <c r="V1707" s="61"/>
      <c r="W1707" s="61"/>
      <c r="X1707" s="61"/>
      <c r="Y1707" s="61"/>
      <c r="Z1707" s="61"/>
      <c r="AA1707" s="61"/>
      <c r="AB1707" s="61"/>
      <c r="AC1707" s="61"/>
    </row>
    <row r="1708" ht="15.75" customHeight="1">
      <c r="A1708" s="61"/>
      <c r="B1708" s="61"/>
      <c r="C1708" s="61"/>
      <c r="D1708" s="61"/>
      <c r="E1708" s="61"/>
      <c r="F1708" s="61"/>
      <c r="G1708" s="61"/>
      <c r="H1708" s="61"/>
      <c r="I1708" s="61"/>
      <c r="J1708" s="61"/>
      <c r="K1708" s="61"/>
      <c r="L1708" s="61"/>
      <c r="M1708" s="61"/>
      <c r="N1708" s="61"/>
      <c r="O1708" s="61"/>
      <c r="P1708" s="61"/>
      <c r="Q1708" s="61"/>
      <c r="R1708" s="61"/>
      <c r="S1708" s="61"/>
      <c r="T1708" s="61"/>
      <c r="U1708" s="61"/>
      <c r="V1708" s="61"/>
      <c r="W1708" s="61"/>
      <c r="X1708" s="61"/>
      <c r="Y1708" s="61"/>
      <c r="Z1708" s="61"/>
      <c r="AA1708" s="61"/>
      <c r="AB1708" s="61"/>
      <c r="AC1708" s="61"/>
    </row>
    <row r="1709" ht="15.75" customHeight="1">
      <c r="A1709" s="61"/>
      <c r="B1709" s="61"/>
      <c r="C1709" s="61"/>
      <c r="D1709" s="61"/>
      <c r="E1709" s="61"/>
      <c r="F1709" s="61"/>
      <c r="G1709" s="61"/>
      <c r="H1709" s="61"/>
      <c r="I1709" s="61"/>
      <c r="J1709" s="61"/>
      <c r="K1709" s="61"/>
      <c r="L1709" s="61"/>
      <c r="M1709" s="61"/>
      <c r="N1709" s="61"/>
      <c r="O1709" s="61"/>
      <c r="P1709" s="61"/>
      <c r="Q1709" s="61"/>
      <c r="R1709" s="61"/>
      <c r="S1709" s="61"/>
      <c r="T1709" s="61"/>
      <c r="U1709" s="61"/>
      <c r="V1709" s="61"/>
      <c r="W1709" s="61"/>
      <c r="X1709" s="61"/>
      <c r="Y1709" s="61"/>
      <c r="Z1709" s="61"/>
      <c r="AA1709" s="61"/>
      <c r="AB1709" s="61"/>
      <c r="AC1709" s="61"/>
    </row>
    <row r="1710" ht="15.75" customHeight="1">
      <c r="A1710" s="61"/>
      <c r="B1710" s="61"/>
      <c r="C1710" s="61"/>
      <c r="D1710" s="61"/>
      <c r="E1710" s="61"/>
      <c r="F1710" s="61"/>
      <c r="G1710" s="61"/>
      <c r="H1710" s="61"/>
      <c r="I1710" s="61"/>
      <c r="J1710" s="61"/>
      <c r="K1710" s="61"/>
      <c r="L1710" s="61"/>
      <c r="M1710" s="61"/>
      <c r="N1710" s="61"/>
      <c r="O1710" s="61"/>
      <c r="P1710" s="61"/>
      <c r="Q1710" s="61"/>
      <c r="R1710" s="61"/>
      <c r="S1710" s="61"/>
      <c r="T1710" s="61"/>
      <c r="U1710" s="61"/>
      <c r="V1710" s="61"/>
      <c r="W1710" s="61"/>
      <c r="X1710" s="61"/>
      <c r="Y1710" s="61"/>
      <c r="Z1710" s="61"/>
      <c r="AA1710" s="61"/>
      <c r="AB1710" s="61"/>
      <c r="AC1710" s="61"/>
    </row>
    <row r="1711" ht="15.75" customHeight="1">
      <c r="A1711" s="61"/>
      <c r="B1711" s="61"/>
      <c r="C1711" s="61"/>
      <c r="D1711" s="61"/>
      <c r="E1711" s="61"/>
      <c r="F1711" s="61"/>
      <c r="G1711" s="61"/>
      <c r="H1711" s="61"/>
      <c r="I1711" s="61"/>
      <c r="J1711" s="61"/>
      <c r="K1711" s="61"/>
      <c r="L1711" s="61"/>
      <c r="M1711" s="61"/>
      <c r="N1711" s="61"/>
      <c r="O1711" s="61"/>
      <c r="P1711" s="61"/>
      <c r="Q1711" s="61"/>
      <c r="R1711" s="61"/>
      <c r="S1711" s="61"/>
      <c r="T1711" s="61"/>
      <c r="U1711" s="61"/>
      <c r="V1711" s="61"/>
      <c r="W1711" s="61"/>
      <c r="X1711" s="61"/>
      <c r="Y1711" s="61"/>
      <c r="Z1711" s="61"/>
      <c r="AA1711" s="61"/>
      <c r="AB1711" s="61"/>
      <c r="AC1711" s="61"/>
    </row>
    <row r="1712" ht="15.75" customHeight="1">
      <c r="A1712" s="61"/>
      <c r="B1712" s="61"/>
      <c r="C1712" s="61"/>
      <c r="D1712" s="61"/>
      <c r="E1712" s="61"/>
      <c r="F1712" s="61"/>
      <c r="G1712" s="61"/>
      <c r="H1712" s="61"/>
      <c r="I1712" s="61"/>
      <c r="J1712" s="61"/>
      <c r="K1712" s="61"/>
      <c r="L1712" s="61"/>
      <c r="M1712" s="61"/>
      <c r="N1712" s="61"/>
      <c r="O1712" s="61"/>
      <c r="P1712" s="61"/>
      <c r="Q1712" s="61"/>
      <c r="R1712" s="61"/>
      <c r="S1712" s="61"/>
      <c r="T1712" s="61"/>
      <c r="U1712" s="61"/>
      <c r="V1712" s="61"/>
      <c r="W1712" s="61"/>
      <c r="X1712" s="61"/>
      <c r="Y1712" s="61"/>
      <c r="Z1712" s="61"/>
      <c r="AA1712" s="61"/>
      <c r="AB1712" s="61"/>
      <c r="AC1712" s="61"/>
    </row>
    <row r="1713" ht="15.75" customHeight="1">
      <c r="A1713" s="61"/>
      <c r="B1713" s="61"/>
      <c r="C1713" s="61"/>
      <c r="D1713" s="61"/>
      <c r="E1713" s="61"/>
      <c r="F1713" s="61"/>
      <c r="G1713" s="61"/>
      <c r="H1713" s="61"/>
      <c r="I1713" s="61"/>
      <c r="J1713" s="61"/>
      <c r="K1713" s="61"/>
      <c r="L1713" s="61"/>
      <c r="M1713" s="61"/>
      <c r="N1713" s="61"/>
      <c r="O1713" s="61"/>
      <c r="P1713" s="61"/>
      <c r="Q1713" s="61"/>
      <c r="R1713" s="61"/>
      <c r="S1713" s="61"/>
      <c r="T1713" s="61"/>
      <c r="U1713" s="61"/>
      <c r="V1713" s="61"/>
      <c r="W1713" s="61"/>
      <c r="X1713" s="61"/>
      <c r="Y1713" s="61"/>
      <c r="Z1713" s="61"/>
      <c r="AA1713" s="61"/>
      <c r="AB1713" s="61"/>
      <c r="AC1713" s="61"/>
    </row>
    <row r="1714" ht="15.75" customHeight="1">
      <c r="A1714" s="61"/>
      <c r="B1714" s="61"/>
      <c r="C1714" s="61"/>
      <c r="D1714" s="61"/>
      <c r="E1714" s="61"/>
      <c r="F1714" s="61"/>
      <c r="G1714" s="61"/>
      <c r="H1714" s="61"/>
      <c r="I1714" s="61"/>
      <c r="J1714" s="61"/>
      <c r="K1714" s="61"/>
      <c r="L1714" s="61"/>
      <c r="M1714" s="61"/>
      <c r="N1714" s="61"/>
      <c r="O1714" s="61"/>
      <c r="P1714" s="61"/>
      <c r="Q1714" s="61"/>
      <c r="R1714" s="61"/>
      <c r="S1714" s="61"/>
      <c r="T1714" s="61"/>
      <c r="U1714" s="61"/>
      <c r="V1714" s="61"/>
      <c r="W1714" s="61"/>
      <c r="X1714" s="61"/>
      <c r="Y1714" s="61"/>
      <c r="Z1714" s="61"/>
      <c r="AA1714" s="61"/>
      <c r="AB1714" s="61"/>
      <c r="AC1714" s="61"/>
    </row>
    <row r="1715" ht="15.75" customHeight="1">
      <c r="A1715" s="61"/>
      <c r="B1715" s="61"/>
      <c r="C1715" s="61"/>
      <c r="D1715" s="61"/>
      <c r="E1715" s="61"/>
      <c r="F1715" s="61"/>
      <c r="G1715" s="61"/>
      <c r="H1715" s="61"/>
      <c r="I1715" s="61"/>
      <c r="J1715" s="61"/>
      <c r="K1715" s="61"/>
      <c r="L1715" s="61"/>
      <c r="M1715" s="61"/>
      <c r="N1715" s="61"/>
      <c r="O1715" s="61"/>
      <c r="P1715" s="61"/>
      <c r="Q1715" s="61"/>
      <c r="R1715" s="61"/>
      <c r="S1715" s="61"/>
      <c r="T1715" s="61"/>
      <c r="U1715" s="61"/>
      <c r="V1715" s="61"/>
      <c r="W1715" s="61"/>
      <c r="X1715" s="61"/>
      <c r="Y1715" s="61"/>
      <c r="Z1715" s="61"/>
      <c r="AA1715" s="61"/>
      <c r="AB1715" s="61"/>
      <c r="AC1715" s="61"/>
    </row>
    <row r="1716" ht="15.75" customHeight="1">
      <c r="A1716" s="61"/>
      <c r="B1716" s="61"/>
      <c r="C1716" s="61"/>
      <c r="D1716" s="61"/>
      <c r="E1716" s="61"/>
      <c r="F1716" s="61"/>
      <c r="G1716" s="61"/>
      <c r="H1716" s="61"/>
      <c r="I1716" s="61"/>
      <c r="J1716" s="61"/>
      <c r="K1716" s="61"/>
      <c r="L1716" s="61"/>
      <c r="M1716" s="61"/>
      <c r="N1716" s="61"/>
      <c r="O1716" s="61"/>
      <c r="P1716" s="61"/>
      <c r="Q1716" s="61"/>
      <c r="R1716" s="61"/>
      <c r="S1716" s="61"/>
      <c r="T1716" s="61"/>
      <c r="U1716" s="61"/>
      <c r="V1716" s="61"/>
      <c r="W1716" s="61"/>
      <c r="X1716" s="61"/>
      <c r="Y1716" s="61"/>
      <c r="Z1716" s="61"/>
      <c r="AA1716" s="61"/>
      <c r="AB1716" s="61"/>
      <c r="AC1716" s="61"/>
    </row>
    <row r="1717" ht="15.75" customHeight="1">
      <c r="A1717" s="61"/>
      <c r="B1717" s="61"/>
      <c r="C1717" s="61"/>
      <c r="D1717" s="61"/>
      <c r="E1717" s="61"/>
      <c r="F1717" s="61"/>
      <c r="G1717" s="61"/>
      <c r="H1717" s="61"/>
      <c r="I1717" s="61"/>
      <c r="J1717" s="61"/>
      <c r="K1717" s="61"/>
      <c r="L1717" s="61"/>
      <c r="M1717" s="61"/>
      <c r="N1717" s="61"/>
      <c r="O1717" s="61"/>
      <c r="P1717" s="61"/>
      <c r="Q1717" s="61"/>
      <c r="R1717" s="61"/>
      <c r="S1717" s="61"/>
      <c r="T1717" s="61"/>
      <c r="U1717" s="61"/>
      <c r="V1717" s="61"/>
      <c r="W1717" s="61"/>
      <c r="X1717" s="61"/>
      <c r="Y1717" s="61"/>
      <c r="Z1717" s="61"/>
      <c r="AA1717" s="61"/>
      <c r="AB1717" s="61"/>
      <c r="AC1717" s="61"/>
    </row>
    <row r="1718" ht="15.75" customHeight="1">
      <c r="A1718" s="61"/>
      <c r="B1718" s="61"/>
      <c r="C1718" s="61"/>
      <c r="D1718" s="61"/>
      <c r="E1718" s="61"/>
      <c r="F1718" s="61"/>
      <c r="G1718" s="61"/>
      <c r="H1718" s="61"/>
      <c r="I1718" s="61"/>
      <c r="J1718" s="61"/>
      <c r="K1718" s="61"/>
      <c r="L1718" s="61"/>
      <c r="M1718" s="61"/>
      <c r="N1718" s="61"/>
      <c r="O1718" s="61"/>
      <c r="P1718" s="61"/>
      <c r="Q1718" s="61"/>
      <c r="R1718" s="61"/>
      <c r="S1718" s="61"/>
      <c r="T1718" s="61"/>
      <c r="U1718" s="61"/>
      <c r="V1718" s="61"/>
      <c r="W1718" s="61"/>
      <c r="X1718" s="61"/>
      <c r="Y1718" s="61"/>
      <c r="Z1718" s="61"/>
      <c r="AA1718" s="61"/>
      <c r="AB1718" s="61"/>
      <c r="AC1718" s="61"/>
    </row>
    <row r="1719" ht="15.75" customHeight="1">
      <c r="A1719" s="61"/>
      <c r="B1719" s="61"/>
      <c r="C1719" s="61"/>
      <c r="D1719" s="61"/>
      <c r="E1719" s="61"/>
      <c r="F1719" s="61"/>
      <c r="G1719" s="61"/>
      <c r="H1719" s="61"/>
      <c r="I1719" s="61"/>
      <c r="J1719" s="61"/>
      <c r="K1719" s="61"/>
      <c r="L1719" s="61"/>
      <c r="M1719" s="61"/>
      <c r="N1719" s="61"/>
      <c r="O1719" s="61"/>
      <c r="P1719" s="61"/>
      <c r="Q1719" s="61"/>
      <c r="R1719" s="61"/>
      <c r="S1719" s="61"/>
      <c r="T1719" s="61"/>
      <c r="U1719" s="61"/>
      <c r="V1719" s="61"/>
      <c r="W1719" s="61"/>
      <c r="X1719" s="61"/>
      <c r="Y1719" s="61"/>
      <c r="Z1719" s="61"/>
      <c r="AA1719" s="61"/>
      <c r="AB1719" s="61"/>
      <c r="AC1719" s="61"/>
    </row>
    <row r="1720" ht="15.75" customHeight="1">
      <c r="A1720" s="61"/>
      <c r="B1720" s="61"/>
      <c r="C1720" s="61"/>
      <c r="D1720" s="61"/>
      <c r="E1720" s="61"/>
      <c r="F1720" s="61"/>
      <c r="G1720" s="61"/>
      <c r="H1720" s="61"/>
      <c r="I1720" s="61"/>
      <c r="J1720" s="61"/>
      <c r="K1720" s="61"/>
      <c r="L1720" s="61"/>
      <c r="M1720" s="61"/>
      <c r="N1720" s="61"/>
      <c r="O1720" s="61"/>
      <c r="P1720" s="61"/>
      <c r="Q1720" s="61"/>
      <c r="R1720" s="61"/>
      <c r="S1720" s="61"/>
      <c r="T1720" s="61"/>
      <c r="U1720" s="61"/>
      <c r="V1720" s="61"/>
      <c r="W1720" s="61"/>
      <c r="X1720" s="61"/>
      <c r="Y1720" s="61"/>
      <c r="Z1720" s="61"/>
      <c r="AA1720" s="61"/>
      <c r="AB1720" s="61"/>
      <c r="AC1720" s="61"/>
    </row>
    <row r="1721" ht="15.75" customHeight="1">
      <c r="A1721" s="61"/>
      <c r="B1721" s="61"/>
      <c r="C1721" s="61"/>
      <c r="D1721" s="61"/>
      <c r="E1721" s="61"/>
      <c r="F1721" s="61"/>
      <c r="G1721" s="61"/>
      <c r="H1721" s="61"/>
      <c r="I1721" s="61"/>
      <c r="J1721" s="61"/>
      <c r="K1721" s="61"/>
      <c r="L1721" s="61"/>
      <c r="M1721" s="61"/>
      <c r="N1721" s="61"/>
      <c r="O1721" s="61"/>
      <c r="P1721" s="61"/>
      <c r="Q1721" s="61"/>
      <c r="R1721" s="61"/>
      <c r="S1721" s="61"/>
      <c r="T1721" s="61"/>
      <c r="U1721" s="61"/>
      <c r="V1721" s="61"/>
      <c r="W1721" s="61"/>
      <c r="X1721" s="61"/>
      <c r="Y1721" s="61"/>
      <c r="Z1721" s="61"/>
      <c r="AA1721" s="61"/>
      <c r="AB1721" s="61"/>
      <c r="AC1721" s="61"/>
    </row>
    <row r="1722" ht="15.75" customHeight="1">
      <c r="A1722" s="61"/>
      <c r="B1722" s="61"/>
      <c r="C1722" s="61"/>
      <c r="D1722" s="61"/>
      <c r="E1722" s="61"/>
      <c r="F1722" s="61"/>
      <c r="G1722" s="61"/>
      <c r="H1722" s="61"/>
      <c r="I1722" s="61"/>
      <c r="J1722" s="61"/>
      <c r="K1722" s="61"/>
      <c r="L1722" s="61"/>
      <c r="M1722" s="61"/>
      <c r="N1722" s="61"/>
      <c r="O1722" s="61"/>
      <c r="P1722" s="61"/>
      <c r="Q1722" s="61"/>
      <c r="R1722" s="61"/>
      <c r="S1722" s="61"/>
      <c r="T1722" s="61"/>
      <c r="U1722" s="61"/>
      <c r="V1722" s="61"/>
      <c r="W1722" s="61"/>
      <c r="X1722" s="61"/>
      <c r="Y1722" s="61"/>
      <c r="Z1722" s="61"/>
      <c r="AA1722" s="61"/>
      <c r="AB1722" s="61"/>
      <c r="AC1722" s="61"/>
    </row>
    <row r="1723" ht="15.75" customHeight="1">
      <c r="A1723" s="61"/>
      <c r="B1723" s="61"/>
      <c r="C1723" s="61"/>
      <c r="D1723" s="61"/>
      <c r="E1723" s="61"/>
      <c r="F1723" s="61"/>
      <c r="G1723" s="61"/>
      <c r="H1723" s="61"/>
      <c r="I1723" s="61"/>
      <c r="J1723" s="61"/>
      <c r="K1723" s="61"/>
      <c r="L1723" s="61"/>
      <c r="M1723" s="61"/>
      <c r="N1723" s="61"/>
      <c r="O1723" s="61"/>
      <c r="P1723" s="61"/>
      <c r="Q1723" s="61"/>
      <c r="R1723" s="61"/>
      <c r="S1723" s="61"/>
      <c r="T1723" s="61"/>
      <c r="U1723" s="61"/>
      <c r="V1723" s="61"/>
      <c r="W1723" s="61"/>
      <c r="X1723" s="61"/>
      <c r="Y1723" s="61"/>
      <c r="Z1723" s="61"/>
      <c r="AA1723" s="61"/>
      <c r="AB1723" s="61"/>
      <c r="AC1723" s="61"/>
    </row>
    <row r="1724" ht="15.75" customHeight="1">
      <c r="A1724" s="61"/>
      <c r="B1724" s="61"/>
      <c r="C1724" s="61"/>
      <c r="D1724" s="61"/>
      <c r="E1724" s="61"/>
      <c r="F1724" s="61"/>
      <c r="G1724" s="61"/>
      <c r="H1724" s="61"/>
      <c r="I1724" s="61"/>
      <c r="J1724" s="61"/>
      <c r="K1724" s="61"/>
      <c r="L1724" s="61"/>
      <c r="M1724" s="61"/>
      <c r="N1724" s="61"/>
      <c r="O1724" s="61"/>
      <c r="P1724" s="61"/>
      <c r="Q1724" s="61"/>
      <c r="R1724" s="61"/>
      <c r="S1724" s="61"/>
      <c r="T1724" s="61"/>
      <c r="U1724" s="61"/>
      <c r="V1724" s="61"/>
      <c r="W1724" s="61"/>
      <c r="X1724" s="61"/>
      <c r="Y1724" s="61"/>
      <c r="Z1724" s="61"/>
      <c r="AA1724" s="61"/>
      <c r="AB1724" s="61"/>
      <c r="AC1724" s="61"/>
    </row>
    <row r="1725" ht="15.75" customHeight="1">
      <c r="A1725" s="61"/>
      <c r="B1725" s="61"/>
      <c r="C1725" s="61"/>
      <c r="D1725" s="61"/>
      <c r="E1725" s="61"/>
      <c r="F1725" s="61"/>
      <c r="G1725" s="61"/>
      <c r="H1725" s="61"/>
      <c r="I1725" s="61"/>
      <c r="J1725" s="61"/>
      <c r="K1725" s="61"/>
      <c r="L1725" s="61"/>
      <c r="M1725" s="61"/>
      <c r="N1725" s="61"/>
      <c r="O1725" s="61"/>
      <c r="P1725" s="61"/>
      <c r="Q1725" s="61"/>
      <c r="R1725" s="61"/>
      <c r="S1725" s="61"/>
      <c r="T1725" s="61"/>
      <c r="U1725" s="61"/>
      <c r="V1725" s="61"/>
      <c r="W1725" s="61"/>
      <c r="X1725" s="61"/>
      <c r="Y1725" s="61"/>
      <c r="Z1725" s="61"/>
      <c r="AA1725" s="61"/>
      <c r="AB1725" s="61"/>
      <c r="AC1725" s="61"/>
    </row>
    <row r="1726" ht="15.75" customHeight="1">
      <c r="A1726" s="61"/>
      <c r="B1726" s="61"/>
      <c r="C1726" s="61"/>
      <c r="D1726" s="61"/>
      <c r="E1726" s="61"/>
      <c r="F1726" s="61"/>
      <c r="G1726" s="61"/>
      <c r="H1726" s="61"/>
      <c r="I1726" s="61"/>
      <c r="J1726" s="61"/>
      <c r="K1726" s="61"/>
      <c r="L1726" s="61"/>
      <c r="M1726" s="61"/>
      <c r="N1726" s="61"/>
      <c r="O1726" s="61"/>
      <c r="P1726" s="61"/>
      <c r="Q1726" s="61"/>
      <c r="R1726" s="61"/>
      <c r="S1726" s="61"/>
      <c r="T1726" s="61"/>
      <c r="U1726" s="61"/>
      <c r="V1726" s="61"/>
      <c r="W1726" s="61"/>
      <c r="X1726" s="61"/>
      <c r="Y1726" s="61"/>
      <c r="Z1726" s="61"/>
      <c r="AA1726" s="61"/>
      <c r="AB1726" s="61"/>
      <c r="AC1726" s="61"/>
    </row>
    <row r="1727" ht="15.75" customHeight="1">
      <c r="A1727" s="61"/>
      <c r="B1727" s="61"/>
      <c r="C1727" s="61"/>
      <c r="D1727" s="61"/>
      <c r="E1727" s="61"/>
      <c r="F1727" s="61"/>
      <c r="G1727" s="61"/>
      <c r="H1727" s="61"/>
      <c r="I1727" s="61"/>
      <c r="J1727" s="61"/>
      <c r="K1727" s="61"/>
      <c r="L1727" s="61"/>
      <c r="M1727" s="61"/>
      <c r="N1727" s="61"/>
      <c r="O1727" s="61"/>
      <c r="P1727" s="61"/>
      <c r="Q1727" s="61"/>
      <c r="R1727" s="61"/>
      <c r="S1727" s="61"/>
      <c r="T1727" s="61"/>
      <c r="U1727" s="61"/>
      <c r="V1727" s="61"/>
      <c r="W1727" s="61"/>
      <c r="X1727" s="61"/>
      <c r="Y1727" s="61"/>
      <c r="Z1727" s="61"/>
      <c r="AA1727" s="61"/>
      <c r="AB1727" s="61"/>
      <c r="AC1727" s="61"/>
    </row>
    <row r="1728" ht="15.75" customHeight="1">
      <c r="A1728" s="61"/>
      <c r="B1728" s="61"/>
      <c r="C1728" s="61"/>
      <c r="D1728" s="61"/>
      <c r="E1728" s="61"/>
      <c r="F1728" s="61"/>
      <c r="G1728" s="61"/>
      <c r="H1728" s="61"/>
      <c r="I1728" s="61"/>
      <c r="J1728" s="61"/>
      <c r="K1728" s="61"/>
      <c r="L1728" s="61"/>
      <c r="M1728" s="61"/>
      <c r="N1728" s="61"/>
      <c r="O1728" s="61"/>
      <c r="P1728" s="61"/>
      <c r="Q1728" s="61"/>
      <c r="R1728" s="61"/>
      <c r="S1728" s="61"/>
      <c r="T1728" s="61"/>
      <c r="U1728" s="61"/>
      <c r="V1728" s="61"/>
      <c r="W1728" s="61"/>
      <c r="X1728" s="61"/>
      <c r="Y1728" s="61"/>
      <c r="Z1728" s="61"/>
      <c r="AA1728" s="61"/>
      <c r="AB1728" s="61"/>
      <c r="AC1728" s="61"/>
    </row>
    <row r="1729" ht="15.75" customHeight="1">
      <c r="A1729" s="61"/>
      <c r="B1729" s="61"/>
      <c r="C1729" s="61"/>
      <c r="D1729" s="61"/>
      <c r="E1729" s="61"/>
      <c r="F1729" s="61"/>
      <c r="G1729" s="61"/>
      <c r="H1729" s="61"/>
      <c r="I1729" s="61"/>
      <c r="J1729" s="61"/>
      <c r="K1729" s="61"/>
      <c r="L1729" s="61"/>
      <c r="M1729" s="61"/>
      <c r="N1729" s="61"/>
      <c r="O1729" s="61"/>
      <c r="P1729" s="61"/>
      <c r="Q1729" s="61"/>
      <c r="R1729" s="61"/>
      <c r="S1729" s="61"/>
      <c r="T1729" s="61"/>
      <c r="U1729" s="61"/>
      <c r="V1729" s="61"/>
      <c r="W1729" s="61"/>
      <c r="X1729" s="61"/>
      <c r="Y1729" s="61"/>
      <c r="Z1729" s="61"/>
      <c r="AA1729" s="61"/>
      <c r="AB1729" s="61"/>
      <c r="AC1729" s="61"/>
    </row>
    <row r="1730" ht="15.75" customHeight="1">
      <c r="A1730" s="61"/>
      <c r="B1730" s="61"/>
      <c r="C1730" s="61"/>
      <c r="D1730" s="61"/>
      <c r="E1730" s="61"/>
      <c r="F1730" s="61"/>
      <c r="G1730" s="61"/>
      <c r="H1730" s="61"/>
      <c r="I1730" s="61"/>
      <c r="J1730" s="61"/>
      <c r="K1730" s="61"/>
      <c r="L1730" s="61"/>
      <c r="M1730" s="61"/>
      <c r="N1730" s="61"/>
      <c r="O1730" s="61"/>
      <c r="P1730" s="61"/>
      <c r="Q1730" s="61"/>
      <c r="R1730" s="61"/>
      <c r="S1730" s="61"/>
      <c r="T1730" s="61"/>
      <c r="U1730" s="61"/>
      <c r="V1730" s="61"/>
      <c r="W1730" s="61"/>
      <c r="X1730" s="61"/>
      <c r="Y1730" s="61"/>
      <c r="Z1730" s="61"/>
      <c r="AA1730" s="61"/>
      <c r="AB1730" s="61"/>
      <c r="AC1730" s="61"/>
    </row>
    <row r="1731" ht="15.75" customHeight="1">
      <c r="A1731" s="61"/>
      <c r="B1731" s="61"/>
      <c r="C1731" s="61"/>
      <c r="D1731" s="61"/>
      <c r="E1731" s="61"/>
      <c r="F1731" s="61"/>
      <c r="G1731" s="61"/>
      <c r="H1731" s="61"/>
      <c r="I1731" s="61"/>
      <c r="J1731" s="61"/>
      <c r="K1731" s="61"/>
      <c r="L1731" s="61"/>
      <c r="M1731" s="61"/>
      <c r="N1731" s="61"/>
      <c r="O1731" s="61"/>
      <c r="P1731" s="61"/>
      <c r="Q1731" s="61"/>
      <c r="R1731" s="61"/>
      <c r="S1731" s="61"/>
      <c r="T1731" s="61"/>
      <c r="U1731" s="61"/>
      <c r="V1731" s="61"/>
      <c r="W1731" s="61"/>
      <c r="X1731" s="61"/>
      <c r="Y1731" s="61"/>
      <c r="Z1731" s="61"/>
      <c r="AA1731" s="61"/>
      <c r="AB1731" s="61"/>
      <c r="AC1731" s="61"/>
    </row>
    <row r="1732" ht="15.75" customHeight="1">
      <c r="A1732" s="61"/>
      <c r="B1732" s="61"/>
      <c r="C1732" s="61"/>
      <c r="D1732" s="61"/>
      <c r="E1732" s="61"/>
      <c r="F1732" s="61"/>
      <c r="G1732" s="61"/>
      <c r="H1732" s="61"/>
      <c r="I1732" s="61"/>
      <c r="J1732" s="61"/>
      <c r="K1732" s="61"/>
      <c r="L1732" s="61"/>
      <c r="M1732" s="61"/>
      <c r="N1732" s="61"/>
      <c r="O1732" s="61"/>
      <c r="P1732" s="61"/>
      <c r="Q1732" s="61"/>
      <c r="R1732" s="61"/>
      <c r="S1732" s="61"/>
      <c r="T1732" s="61"/>
      <c r="U1732" s="61"/>
      <c r="V1732" s="61"/>
      <c r="W1732" s="61"/>
      <c r="X1732" s="61"/>
      <c r="Y1732" s="61"/>
      <c r="Z1732" s="61"/>
      <c r="AA1732" s="61"/>
      <c r="AB1732" s="61"/>
      <c r="AC1732" s="61"/>
    </row>
    <row r="1733" ht="15.75" customHeight="1">
      <c r="A1733" s="61"/>
      <c r="B1733" s="61"/>
      <c r="C1733" s="61"/>
      <c r="D1733" s="61"/>
      <c r="E1733" s="61"/>
      <c r="F1733" s="61"/>
      <c r="G1733" s="61"/>
      <c r="H1733" s="61"/>
      <c r="I1733" s="61"/>
      <c r="J1733" s="61"/>
      <c r="K1733" s="61"/>
      <c r="L1733" s="61"/>
      <c r="M1733" s="61"/>
      <c r="N1733" s="61"/>
      <c r="O1733" s="61"/>
      <c r="P1733" s="61"/>
      <c r="Q1733" s="61"/>
      <c r="R1733" s="61"/>
      <c r="S1733" s="61"/>
      <c r="T1733" s="61"/>
      <c r="U1733" s="61"/>
      <c r="V1733" s="61"/>
      <c r="W1733" s="61"/>
      <c r="X1733" s="61"/>
      <c r="Y1733" s="61"/>
      <c r="Z1733" s="61"/>
      <c r="AA1733" s="61"/>
      <c r="AB1733" s="61"/>
      <c r="AC1733" s="61"/>
    </row>
    <row r="1734" ht="15.75" customHeight="1">
      <c r="A1734" s="61"/>
      <c r="B1734" s="61"/>
      <c r="C1734" s="61"/>
      <c r="D1734" s="61"/>
      <c r="E1734" s="61"/>
      <c r="F1734" s="61"/>
      <c r="G1734" s="61"/>
      <c r="H1734" s="61"/>
      <c r="I1734" s="61"/>
      <c r="J1734" s="61"/>
      <c r="K1734" s="61"/>
      <c r="L1734" s="61"/>
      <c r="M1734" s="61"/>
      <c r="N1734" s="61"/>
      <c r="O1734" s="61"/>
      <c r="P1734" s="61"/>
      <c r="Q1734" s="61"/>
      <c r="R1734" s="61"/>
      <c r="S1734" s="61"/>
      <c r="T1734" s="61"/>
      <c r="U1734" s="61"/>
      <c r="V1734" s="61"/>
      <c r="W1734" s="61"/>
      <c r="X1734" s="61"/>
      <c r="Y1734" s="61"/>
      <c r="Z1734" s="61"/>
      <c r="AA1734" s="61"/>
      <c r="AB1734" s="61"/>
      <c r="AC1734" s="61"/>
    </row>
    <row r="1735" ht="15.75" customHeight="1">
      <c r="A1735" s="61"/>
      <c r="B1735" s="61"/>
      <c r="C1735" s="61"/>
      <c r="D1735" s="61"/>
      <c r="E1735" s="61"/>
      <c r="F1735" s="61"/>
      <c r="G1735" s="61"/>
      <c r="H1735" s="61"/>
      <c r="I1735" s="61"/>
      <c r="J1735" s="61"/>
      <c r="K1735" s="61"/>
      <c r="L1735" s="61"/>
      <c r="M1735" s="61"/>
      <c r="N1735" s="61"/>
      <c r="O1735" s="61"/>
      <c r="P1735" s="61"/>
      <c r="Q1735" s="61"/>
      <c r="R1735" s="61"/>
      <c r="S1735" s="61"/>
      <c r="T1735" s="61"/>
      <c r="U1735" s="61"/>
      <c r="V1735" s="61"/>
      <c r="W1735" s="61"/>
      <c r="X1735" s="61"/>
      <c r="Y1735" s="61"/>
      <c r="Z1735" s="61"/>
      <c r="AA1735" s="61"/>
      <c r="AB1735" s="61"/>
      <c r="AC1735" s="61"/>
    </row>
    <row r="1736" ht="15.75" customHeight="1">
      <c r="A1736" s="61"/>
      <c r="B1736" s="61"/>
      <c r="C1736" s="61"/>
      <c r="D1736" s="61"/>
      <c r="E1736" s="61"/>
      <c r="F1736" s="61"/>
      <c r="G1736" s="61"/>
      <c r="H1736" s="61"/>
      <c r="I1736" s="61"/>
      <c r="J1736" s="61"/>
      <c r="K1736" s="61"/>
      <c r="L1736" s="61"/>
      <c r="M1736" s="61"/>
      <c r="N1736" s="61"/>
      <c r="O1736" s="61"/>
      <c r="P1736" s="61"/>
      <c r="Q1736" s="61"/>
      <c r="R1736" s="61"/>
      <c r="S1736" s="61"/>
      <c r="T1736" s="61"/>
      <c r="U1736" s="61"/>
      <c r="V1736" s="61"/>
      <c r="W1736" s="61"/>
      <c r="X1736" s="61"/>
      <c r="Y1736" s="61"/>
      <c r="Z1736" s="61"/>
      <c r="AA1736" s="61"/>
      <c r="AB1736" s="61"/>
      <c r="AC1736" s="61"/>
    </row>
    <row r="1737" ht="15.75" customHeight="1">
      <c r="A1737" s="61"/>
      <c r="B1737" s="61"/>
      <c r="C1737" s="61"/>
      <c r="D1737" s="61"/>
      <c r="E1737" s="61"/>
      <c r="F1737" s="61"/>
      <c r="G1737" s="61"/>
      <c r="H1737" s="61"/>
      <c r="I1737" s="61"/>
      <c r="J1737" s="61"/>
      <c r="K1737" s="61"/>
      <c r="L1737" s="61"/>
      <c r="M1737" s="61"/>
      <c r="N1737" s="61"/>
      <c r="O1737" s="61"/>
      <c r="P1737" s="61"/>
      <c r="Q1737" s="61"/>
      <c r="R1737" s="61"/>
      <c r="S1737" s="61"/>
      <c r="T1737" s="61"/>
      <c r="U1737" s="61"/>
      <c r="V1737" s="61"/>
      <c r="W1737" s="61"/>
      <c r="X1737" s="61"/>
      <c r="Y1737" s="61"/>
      <c r="Z1737" s="61"/>
      <c r="AA1737" s="61"/>
      <c r="AB1737" s="61"/>
      <c r="AC1737" s="61"/>
    </row>
    <row r="1738" ht="15.75" customHeight="1">
      <c r="A1738" s="61"/>
      <c r="B1738" s="61"/>
      <c r="C1738" s="61"/>
      <c r="D1738" s="61"/>
      <c r="E1738" s="61"/>
      <c r="F1738" s="61"/>
      <c r="G1738" s="61"/>
      <c r="H1738" s="61"/>
      <c r="I1738" s="61"/>
      <c r="J1738" s="61"/>
      <c r="K1738" s="61"/>
      <c r="L1738" s="61"/>
      <c r="M1738" s="61"/>
      <c r="N1738" s="61"/>
      <c r="O1738" s="61"/>
      <c r="P1738" s="61"/>
      <c r="Q1738" s="61"/>
      <c r="R1738" s="61"/>
      <c r="S1738" s="61"/>
      <c r="T1738" s="61"/>
      <c r="U1738" s="61"/>
      <c r="V1738" s="61"/>
      <c r="W1738" s="61"/>
      <c r="X1738" s="61"/>
      <c r="Y1738" s="61"/>
      <c r="Z1738" s="61"/>
      <c r="AA1738" s="61"/>
      <c r="AB1738" s="61"/>
      <c r="AC1738" s="61"/>
    </row>
    <row r="1739" ht="15.75" customHeight="1">
      <c r="A1739" s="61"/>
      <c r="B1739" s="61"/>
      <c r="C1739" s="61"/>
      <c r="D1739" s="61"/>
      <c r="E1739" s="61"/>
      <c r="F1739" s="61"/>
      <c r="G1739" s="61"/>
      <c r="H1739" s="61"/>
      <c r="I1739" s="61"/>
      <c r="J1739" s="61"/>
      <c r="K1739" s="61"/>
      <c r="L1739" s="61"/>
      <c r="M1739" s="61"/>
      <c r="N1739" s="61"/>
      <c r="O1739" s="61"/>
      <c r="P1739" s="61"/>
      <c r="Q1739" s="61"/>
      <c r="R1739" s="61"/>
      <c r="S1739" s="61"/>
      <c r="T1739" s="61"/>
      <c r="U1739" s="61"/>
      <c r="V1739" s="61"/>
      <c r="W1739" s="61"/>
      <c r="X1739" s="61"/>
      <c r="Y1739" s="61"/>
      <c r="Z1739" s="61"/>
      <c r="AA1739" s="61"/>
      <c r="AB1739" s="61"/>
      <c r="AC1739" s="61"/>
    </row>
    <row r="1740" ht="15.75" customHeight="1">
      <c r="A1740" s="61"/>
      <c r="B1740" s="61"/>
      <c r="C1740" s="61"/>
      <c r="D1740" s="61"/>
      <c r="E1740" s="61"/>
      <c r="F1740" s="61"/>
      <c r="G1740" s="61"/>
      <c r="H1740" s="61"/>
      <c r="I1740" s="61"/>
      <c r="J1740" s="61"/>
      <c r="K1740" s="61"/>
      <c r="L1740" s="61"/>
      <c r="M1740" s="61"/>
      <c r="N1740" s="61"/>
      <c r="O1740" s="61"/>
      <c r="P1740" s="61"/>
      <c r="Q1740" s="61"/>
      <c r="R1740" s="61"/>
      <c r="S1740" s="61"/>
      <c r="T1740" s="61"/>
      <c r="U1740" s="61"/>
      <c r="V1740" s="61"/>
      <c r="W1740" s="61"/>
      <c r="X1740" s="61"/>
      <c r="Y1740" s="61"/>
      <c r="Z1740" s="61"/>
      <c r="AA1740" s="61"/>
      <c r="AB1740" s="61"/>
      <c r="AC1740" s="61"/>
    </row>
    <row r="1741" ht="15.75" customHeight="1">
      <c r="A1741" s="61"/>
      <c r="B1741" s="61"/>
      <c r="C1741" s="61"/>
      <c r="D1741" s="61"/>
      <c r="E1741" s="61"/>
      <c r="F1741" s="61"/>
      <c r="G1741" s="61"/>
      <c r="H1741" s="61"/>
      <c r="I1741" s="61"/>
      <c r="J1741" s="61"/>
      <c r="K1741" s="61"/>
      <c r="L1741" s="61"/>
      <c r="M1741" s="61"/>
      <c r="N1741" s="61"/>
      <c r="O1741" s="61"/>
      <c r="P1741" s="61"/>
      <c r="Q1741" s="61"/>
      <c r="R1741" s="61"/>
      <c r="S1741" s="61"/>
      <c r="T1741" s="61"/>
      <c r="U1741" s="61"/>
      <c r="V1741" s="61"/>
      <c r="W1741" s="61"/>
      <c r="X1741" s="61"/>
      <c r="Y1741" s="61"/>
      <c r="Z1741" s="61"/>
      <c r="AA1741" s="61"/>
      <c r="AB1741" s="61"/>
      <c r="AC1741" s="61"/>
    </row>
    <row r="1742" ht="15.75" customHeight="1">
      <c r="A1742" s="61"/>
      <c r="B1742" s="61"/>
      <c r="C1742" s="61"/>
      <c r="D1742" s="61"/>
      <c r="E1742" s="61"/>
      <c r="F1742" s="61"/>
      <c r="G1742" s="61"/>
      <c r="H1742" s="61"/>
      <c r="I1742" s="61"/>
      <c r="J1742" s="61"/>
      <c r="K1742" s="61"/>
      <c r="L1742" s="61"/>
      <c r="M1742" s="61"/>
      <c r="N1742" s="61"/>
      <c r="O1742" s="61"/>
      <c r="P1742" s="61"/>
      <c r="Q1742" s="61"/>
      <c r="R1742" s="61"/>
      <c r="S1742" s="61"/>
      <c r="T1742" s="61"/>
      <c r="U1742" s="61"/>
      <c r="V1742" s="61"/>
      <c r="W1742" s="61"/>
      <c r="X1742" s="61"/>
      <c r="Y1742" s="61"/>
      <c r="Z1742" s="61"/>
      <c r="AA1742" s="61"/>
      <c r="AB1742" s="61"/>
      <c r="AC1742" s="61"/>
    </row>
    <row r="1743" ht="15.75" customHeight="1">
      <c r="A1743" s="61"/>
      <c r="B1743" s="61"/>
      <c r="C1743" s="61"/>
      <c r="D1743" s="61"/>
      <c r="E1743" s="61"/>
      <c r="F1743" s="61"/>
      <c r="G1743" s="61"/>
      <c r="H1743" s="61"/>
      <c r="I1743" s="61"/>
      <c r="J1743" s="61"/>
      <c r="K1743" s="61"/>
      <c r="L1743" s="61"/>
      <c r="M1743" s="61"/>
      <c r="N1743" s="61"/>
      <c r="O1743" s="61"/>
      <c r="P1743" s="61"/>
      <c r="Q1743" s="61"/>
      <c r="R1743" s="61"/>
      <c r="S1743" s="61"/>
      <c r="T1743" s="61"/>
      <c r="U1743" s="61"/>
      <c r="V1743" s="61"/>
      <c r="W1743" s="61"/>
      <c r="X1743" s="61"/>
      <c r="Y1743" s="61"/>
      <c r="Z1743" s="61"/>
      <c r="AA1743" s="61"/>
      <c r="AB1743" s="61"/>
      <c r="AC1743" s="61"/>
    </row>
    <row r="1744" ht="15.75" customHeight="1">
      <c r="A1744" s="61"/>
      <c r="B1744" s="61"/>
      <c r="C1744" s="61"/>
      <c r="D1744" s="61"/>
      <c r="E1744" s="61"/>
      <c r="F1744" s="61"/>
      <c r="G1744" s="61"/>
      <c r="H1744" s="61"/>
      <c r="I1744" s="61"/>
      <c r="J1744" s="61"/>
      <c r="K1744" s="61"/>
      <c r="L1744" s="61"/>
      <c r="M1744" s="61"/>
      <c r="N1744" s="61"/>
      <c r="O1744" s="61"/>
      <c r="P1744" s="61"/>
      <c r="Q1744" s="61"/>
      <c r="R1744" s="61"/>
      <c r="S1744" s="61"/>
      <c r="T1744" s="61"/>
      <c r="U1744" s="61"/>
      <c r="V1744" s="61"/>
      <c r="W1744" s="61"/>
      <c r="X1744" s="61"/>
      <c r="Y1744" s="61"/>
      <c r="Z1744" s="61"/>
      <c r="AA1744" s="61"/>
      <c r="AB1744" s="61"/>
      <c r="AC1744" s="61"/>
    </row>
    <row r="1745" ht="15.75" customHeight="1">
      <c r="A1745" s="61"/>
      <c r="B1745" s="61"/>
      <c r="C1745" s="61"/>
      <c r="D1745" s="61"/>
      <c r="E1745" s="61"/>
      <c r="F1745" s="61"/>
      <c r="G1745" s="61"/>
      <c r="H1745" s="61"/>
      <c r="I1745" s="61"/>
      <c r="J1745" s="61"/>
      <c r="K1745" s="61"/>
      <c r="L1745" s="61"/>
      <c r="M1745" s="61"/>
      <c r="N1745" s="61"/>
      <c r="O1745" s="61"/>
      <c r="P1745" s="61"/>
      <c r="Q1745" s="61"/>
      <c r="R1745" s="61"/>
      <c r="S1745" s="61"/>
      <c r="T1745" s="61"/>
      <c r="U1745" s="61"/>
      <c r="V1745" s="61"/>
      <c r="W1745" s="61"/>
      <c r="X1745" s="61"/>
      <c r="Y1745" s="61"/>
      <c r="Z1745" s="61"/>
      <c r="AA1745" s="61"/>
      <c r="AB1745" s="61"/>
      <c r="AC1745" s="61"/>
    </row>
    <row r="1746" ht="15.75" customHeight="1">
      <c r="A1746" s="61"/>
      <c r="B1746" s="61"/>
      <c r="C1746" s="61"/>
      <c r="D1746" s="61"/>
      <c r="E1746" s="61"/>
      <c r="F1746" s="61"/>
      <c r="G1746" s="61"/>
      <c r="H1746" s="61"/>
      <c r="I1746" s="61"/>
      <c r="J1746" s="61"/>
      <c r="K1746" s="61"/>
      <c r="L1746" s="61"/>
      <c r="M1746" s="61"/>
      <c r="N1746" s="61"/>
      <c r="O1746" s="61"/>
      <c r="P1746" s="61"/>
      <c r="Q1746" s="61"/>
      <c r="R1746" s="61"/>
      <c r="S1746" s="61"/>
      <c r="T1746" s="61"/>
      <c r="U1746" s="61"/>
      <c r="V1746" s="61"/>
      <c r="W1746" s="61"/>
      <c r="X1746" s="61"/>
      <c r="Y1746" s="61"/>
      <c r="Z1746" s="61"/>
      <c r="AA1746" s="61"/>
      <c r="AB1746" s="61"/>
      <c r="AC1746" s="61"/>
    </row>
    <row r="1747" ht="15.75" customHeight="1">
      <c r="A1747" s="61"/>
      <c r="B1747" s="61"/>
      <c r="C1747" s="61"/>
      <c r="D1747" s="61"/>
      <c r="E1747" s="61"/>
      <c r="F1747" s="61"/>
      <c r="G1747" s="61"/>
      <c r="H1747" s="61"/>
      <c r="I1747" s="61"/>
      <c r="J1747" s="61"/>
      <c r="K1747" s="61"/>
      <c r="L1747" s="61"/>
      <c r="M1747" s="61"/>
      <c r="N1747" s="61"/>
      <c r="O1747" s="61"/>
      <c r="P1747" s="61"/>
      <c r="Q1747" s="61"/>
      <c r="R1747" s="61"/>
      <c r="S1747" s="61"/>
      <c r="T1747" s="61"/>
      <c r="U1747" s="61"/>
      <c r="V1747" s="61"/>
      <c r="W1747" s="61"/>
      <c r="X1747" s="61"/>
      <c r="Y1747" s="61"/>
      <c r="Z1747" s="61"/>
      <c r="AA1747" s="61"/>
      <c r="AB1747" s="61"/>
      <c r="AC1747" s="61"/>
    </row>
    <row r="1748" ht="15.75" customHeight="1">
      <c r="A1748" s="61"/>
      <c r="B1748" s="61"/>
      <c r="C1748" s="61"/>
      <c r="D1748" s="61"/>
      <c r="E1748" s="61"/>
      <c r="F1748" s="61"/>
      <c r="G1748" s="61"/>
      <c r="H1748" s="61"/>
      <c r="I1748" s="61"/>
      <c r="J1748" s="61"/>
      <c r="K1748" s="61"/>
      <c r="L1748" s="61"/>
      <c r="M1748" s="61"/>
      <c r="N1748" s="61"/>
      <c r="O1748" s="61"/>
      <c r="P1748" s="61"/>
      <c r="Q1748" s="61"/>
      <c r="R1748" s="61"/>
      <c r="S1748" s="61"/>
      <c r="T1748" s="61"/>
      <c r="U1748" s="61"/>
      <c r="V1748" s="61"/>
      <c r="W1748" s="61"/>
      <c r="X1748" s="61"/>
      <c r="Y1748" s="61"/>
      <c r="Z1748" s="61"/>
      <c r="AA1748" s="61"/>
      <c r="AB1748" s="61"/>
      <c r="AC1748" s="61"/>
    </row>
    <row r="1749" ht="15.75" customHeight="1">
      <c r="A1749" s="61"/>
      <c r="B1749" s="61"/>
      <c r="C1749" s="61"/>
      <c r="D1749" s="61"/>
      <c r="E1749" s="61"/>
      <c r="F1749" s="61"/>
      <c r="G1749" s="61"/>
      <c r="H1749" s="61"/>
      <c r="I1749" s="61"/>
      <c r="J1749" s="61"/>
      <c r="K1749" s="61"/>
      <c r="L1749" s="61"/>
      <c r="M1749" s="61"/>
      <c r="N1749" s="61"/>
      <c r="O1749" s="61"/>
      <c r="P1749" s="61"/>
      <c r="Q1749" s="61"/>
      <c r="R1749" s="61"/>
      <c r="S1749" s="61"/>
      <c r="T1749" s="61"/>
      <c r="U1749" s="61"/>
      <c r="V1749" s="61"/>
      <c r="W1749" s="61"/>
      <c r="X1749" s="61"/>
      <c r="Y1749" s="61"/>
      <c r="Z1749" s="61"/>
      <c r="AA1749" s="61"/>
      <c r="AB1749" s="61"/>
      <c r="AC1749" s="61"/>
    </row>
    <row r="1750" ht="15.75" customHeight="1">
      <c r="A1750" s="61"/>
      <c r="B1750" s="61"/>
      <c r="C1750" s="61"/>
      <c r="D1750" s="61"/>
      <c r="E1750" s="61"/>
      <c r="F1750" s="61"/>
      <c r="G1750" s="61"/>
      <c r="H1750" s="61"/>
      <c r="I1750" s="61"/>
      <c r="J1750" s="61"/>
      <c r="K1750" s="61"/>
      <c r="L1750" s="61"/>
      <c r="M1750" s="61"/>
      <c r="N1750" s="61"/>
      <c r="O1750" s="61"/>
      <c r="P1750" s="61"/>
      <c r="Q1750" s="61"/>
      <c r="R1750" s="61"/>
      <c r="S1750" s="61"/>
      <c r="T1750" s="61"/>
      <c r="U1750" s="61"/>
      <c r="V1750" s="61"/>
      <c r="W1750" s="61"/>
      <c r="X1750" s="61"/>
      <c r="Y1750" s="61"/>
      <c r="Z1750" s="61"/>
      <c r="AA1750" s="61"/>
      <c r="AB1750" s="61"/>
      <c r="AC1750" s="61"/>
    </row>
    <row r="1751" ht="15.75" customHeight="1">
      <c r="A1751" s="61"/>
      <c r="B1751" s="61"/>
      <c r="C1751" s="61"/>
      <c r="D1751" s="61"/>
      <c r="E1751" s="61"/>
      <c r="F1751" s="61"/>
      <c r="G1751" s="61"/>
      <c r="H1751" s="61"/>
      <c r="I1751" s="61"/>
      <c r="J1751" s="61"/>
      <c r="K1751" s="61"/>
      <c r="L1751" s="61"/>
      <c r="M1751" s="61"/>
      <c r="N1751" s="61"/>
      <c r="O1751" s="61"/>
      <c r="P1751" s="61"/>
      <c r="Q1751" s="61"/>
      <c r="R1751" s="61"/>
      <c r="S1751" s="61"/>
      <c r="T1751" s="61"/>
      <c r="U1751" s="61"/>
      <c r="V1751" s="61"/>
      <c r="W1751" s="61"/>
      <c r="X1751" s="61"/>
      <c r="Y1751" s="61"/>
      <c r="Z1751" s="61"/>
      <c r="AA1751" s="61"/>
      <c r="AB1751" s="61"/>
      <c r="AC1751" s="61"/>
    </row>
    <row r="1752" ht="15.75" customHeight="1">
      <c r="A1752" s="61"/>
      <c r="B1752" s="61"/>
      <c r="C1752" s="61"/>
      <c r="D1752" s="61"/>
      <c r="E1752" s="61"/>
      <c r="F1752" s="61"/>
      <c r="G1752" s="61"/>
      <c r="H1752" s="61"/>
      <c r="I1752" s="61"/>
      <c r="J1752" s="61"/>
      <c r="K1752" s="61"/>
      <c r="L1752" s="61"/>
      <c r="M1752" s="61"/>
      <c r="N1752" s="61"/>
      <c r="O1752" s="61"/>
      <c r="P1752" s="61"/>
      <c r="Q1752" s="61"/>
      <c r="R1752" s="61"/>
      <c r="S1752" s="61"/>
      <c r="T1752" s="61"/>
      <c r="U1752" s="61"/>
      <c r="V1752" s="61"/>
      <c r="W1752" s="61"/>
      <c r="X1752" s="61"/>
      <c r="Y1752" s="61"/>
      <c r="Z1752" s="61"/>
      <c r="AA1752" s="61"/>
      <c r="AB1752" s="61"/>
      <c r="AC1752" s="61"/>
    </row>
    <row r="1753" ht="15.75" customHeight="1">
      <c r="A1753" s="61"/>
      <c r="B1753" s="61"/>
      <c r="C1753" s="61"/>
      <c r="D1753" s="61"/>
      <c r="E1753" s="61"/>
      <c r="F1753" s="61"/>
      <c r="G1753" s="61"/>
      <c r="H1753" s="61"/>
      <c r="I1753" s="61"/>
      <c r="J1753" s="61"/>
      <c r="K1753" s="61"/>
      <c r="L1753" s="61"/>
      <c r="M1753" s="61"/>
      <c r="N1753" s="61"/>
      <c r="O1753" s="61"/>
      <c r="P1753" s="61"/>
      <c r="Q1753" s="61"/>
      <c r="R1753" s="61"/>
      <c r="S1753" s="61"/>
      <c r="T1753" s="61"/>
      <c r="U1753" s="61"/>
      <c r="V1753" s="61"/>
      <c r="W1753" s="61"/>
      <c r="X1753" s="61"/>
      <c r="Y1753" s="61"/>
      <c r="Z1753" s="61"/>
      <c r="AA1753" s="61"/>
      <c r="AB1753" s="61"/>
      <c r="AC1753" s="61"/>
    </row>
    <row r="1754" ht="15.75" customHeight="1">
      <c r="A1754" s="61"/>
      <c r="B1754" s="61"/>
      <c r="C1754" s="61"/>
      <c r="D1754" s="61"/>
      <c r="E1754" s="61"/>
      <c r="F1754" s="61"/>
      <c r="G1754" s="61"/>
      <c r="H1754" s="61"/>
      <c r="I1754" s="61"/>
      <c r="J1754" s="61"/>
      <c r="K1754" s="61"/>
      <c r="L1754" s="61"/>
      <c r="M1754" s="61"/>
      <c r="N1754" s="61"/>
      <c r="O1754" s="61"/>
      <c r="P1754" s="61"/>
      <c r="Q1754" s="61"/>
      <c r="R1754" s="61"/>
      <c r="S1754" s="61"/>
      <c r="T1754" s="61"/>
      <c r="U1754" s="61"/>
      <c r="V1754" s="61"/>
      <c r="W1754" s="61"/>
      <c r="X1754" s="61"/>
      <c r="Y1754" s="61"/>
      <c r="Z1754" s="61"/>
      <c r="AA1754" s="61"/>
      <c r="AB1754" s="61"/>
      <c r="AC1754" s="61"/>
    </row>
    <row r="1755" ht="15.75" customHeight="1">
      <c r="A1755" s="61"/>
      <c r="B1755" s="61"/>
      <c r="C1755" s="61"/>
      <c r="D1755" s="61"/>
      <c r="E1755" s="61"/>
      <c r="F1755" s="61"/>
      <c r="G1755" s="61"/>
      <c r="H1755" s="61"/>
      <c r="I1755" s="61"/>
      <c r="J1755" s="61"/>
      <c r="K1755" s="61"/>
      <c r="L1755" s="61"/>
      <c r="M1755" s="61"/>
      <c r="N1755" s="61"/>
      <c r="O1755" s="61"/>
      <c r="P1755" s="61"/>
      <c r="Q1755" s="61"/>
      <c r="R1755" s="61"/>
      <c r="S1755" s="61"/>
      <c r="T1755" s="61"/>
      <c r="U1755" s="61"/>
      <c r="V1755" s="61"/>
      <c r="W1755" s="61"/>
      <c r="X1755" s="61"/>
      <c r="Y1755" s="61"/>
      <c r="Z1755" s="61"/>
      <c r="AA1755" s="61"/>
      <c r="AB1755" s="61"/>
      <c r="AC1755" s="61"/>
    </row>
    <row r="1756" ht="15.75" customHeight="1">
      <c r="A1756" s="61"/>
      <c r="B1756" s="61"/>
      <c r="C1756" s="61"/>
      <c r="D1756" s="61"/>
      <c r="E1756" s="61"/>
      <c r="F1756" s="61"/>
      <c r="G1756" s="61"/>
      <c r="H1756" s="61"/>
      <c r="I1756" s="61"/>
      <c r="J1756" s="61"/>
      <c r="K1756" s="61"/>
      <c r="L1756" s="61"/>
      <c r="M1756" s="61"/>
      <c r="N1756" s="61"/>
      <c r="O1756" s="61"/>
      <c r="P1756" s="61"/>
      <c r="Q1756" s="61"/>
      <c r="R1756" s="61"/>
      <c r="S1756" s="61"/>
      <c r="T1756" s="61"/>
      <c r="U1756" s="61"/>
      <c r="V1756" s="61"/>
      <c r="W1756" s="61"/>
      <c r="X1756" s="61"/>
      <c r="Y1756" s="61"/>
      <c r="Z1756" s="61"/>
      <c r="AA1756" s="61"/>
      <c r="AB1756" s="61"/>
      <c r="AC1756" s="61"/>
    </row>
    <row r="1757" ht="15.75" customHeight="1">
      <c r="A1757" s="61"/>
      <c r="B1757" s="61"/>
      <c r="C1757" s="61"/>
      <c r="D1757" s="61"/>
      <c r="E1757" s="61"/>
      <c r="F1757" s="61"/>
      <c r="G1757" s="61"/>
      <c r="H1757" s="61"/>
      <c r="I1757" s="61"/>
      <c r="J1757" s="61"/>
      <c r="K1757" s="61"/>
      <c r="L1757" s="61"/>
      <c r="M1757" s="61"/>
      <c r="N1757" s="61"/>
      <c r="O1757" s="61"/>
      <c r="P1757" s="61"/>
      <c r="Q1757" s="61"/>
      <c r="R1757" s="61"/>
      <c r="S1757" s="61"/>
      <c r="T1757" s="61"/>
      <c r="U1757" s="61"/>
      <c r="V1757" s="61"/>
      <c r="W1757" s="61"/>
      <c r="X1757" s="61"/>
      <c r="Y1757" s="61"/>
      <c r="Z1757" s="61"/>
      <c r="AA1757" s="61"/>
      <c r="AB1757" s="61"/>
      <c r="AC1757" s="61"/>
    </row>
    <row r="1758" ht="15.75" customHeight="1">
      <c r="A1758" s="61"/>
      <c r="B1758" s="61"/>
      <c r="C1758" s="61"/>
      <c r="D1758" s="61"/>
      <c r="E1758" s="61"/>
      <c r="F1758" s="61"/>
      <c r="G1758" s="61"/>
      <c r="H1758" s="61"/>
      <c r="I1758" s="61"/>
      <c r="J1758" s="61"/>
      <c r="K1758" s="61"/>
      <c r="L1758" s="61"/>
      <c r="M1758" s="61"/>
      <c r="N1758" s="61"/>
      <c r="O1758" s="61"/>
      <c r="P1758" s="61"/>
      <c r="Q1758" s="61"/>
      <c r="R1758" s="61"/>
      <c r="S1758" s="61"/>
      <c r="T1758" s="61"/>
      <c r="U1758" s="61"/>
      <c r="V1758" s="61"/>
      <c r="W1758" s="61"/>
      <c r="X1758" s="61"/>
      <c r="Y1758" s="61"/>
      <c r="Z1758" s="61"/>
      <c r="AA1758" s="61"/>
      <c r="AB1758" s="61"/>
      <c r="AC1758" s="61"/>
    </row>
    <row r="1759" ht="15.75" customHeight="1">
      <c r="A1759" s="61"/>
      <c r="B1759" s="61"/>
      <c r="C1759" s="61"/>
      <c r="D1759" s="61"/>
      <c r="E1759" s="61"/>
      <c r="F1759" s="61"/>
      <c r="G1759" s="61"/>
      <c r="H1759" s="61"/>
      <c r="I1759" s="61"/>
      <c r="J1759" s="61"/>
      <c r="K1759" s="61"/>
      <c r="L1759" s="61"/>
      <c r="M1759" s="61"/>
      <c r="N1759" s="61"/>
      <c r="O1759" s="61"/>
      <c r="P1759" s="61"/>
      <c r="Q1759" s="61"/>
      <c r="R1759" s="61"/>
      <c r="S1759" s="61"/>
      <c r="T1759" s="61"/>
      <c r="U1759" s="61"/>
      <c r="V1759" s="61"/>
      <c r="W1759" s="61"/>
      <c r="X1759" s="61"/>
      <c r="Y1759" s="61"/>
      <c r="Z1759" s="61"/>
      <c r="AA1759" s="61"/>
      <c r="AB1759" s="61"/>
      <c r="AC1759" s="61"/>
    </row>
    <row r="1760" ht="15.75" customHeight="1">
      <c r="A1760" s="61"/>
      <c r="B1760" s="61"/>
      <c r="C1760" s="61"/>
      <c r="D1760" s="61"/>
      <c r="E1760" s="61"/>
      <c r="F1760" s="61"/>
      <c r="G1760" s="61"/>
      <c r="H1760" s="61"/>
      <c r="I1760" s="61"/>
      <c r="J1760" s="61"/>
      <c r="K1760" s="61"/>
      <c r="L1760" s="61"/>
      <c r="M1760" s="61"/>
      <c r="N1760" s="61"/>
      <c r="O1760" s="61"/>
      <c r="P1760" s="61"/>
      <c r="Q1760" s="61"/>
      <c r="R1760" s="61"/>
      <c r="S1760" s="61"/>
      <c r="T1760" s="61"/>
      <c r="U1760" s="61"/>
      <c r="V1760" s="61"/>
      <c r="W1760" s="61"/>
      <c r="X1760" s="61"/>
      <c r="Y1760" s="61"/>
      <c r="Z1760" s="61"/>
      <c r="AA1760" s="61"/>
      <c r="AB1760" s="61"/>
      <c r="AC1760" s="61"/>
    </row>
    <row r="1761" ht="15.75" customHeight="1">
      <c r="A1761" s="61"/>
      <c r="B1761" s="61"/>
      <c r="C1761" s="61"/>
      <c r="D1761" s="61"/>
      <c r="E1761" s="61"/>
      <c r="F1761" s="61"/>
      <c r="G1761" s="61"/>
      <c r="H1761" s="61"/>
      <c r="I1761" s="61"/>
      <c r="J1761" s="61"/>
      <c r="K1761" s="61"/>
      <c r="L1761" s="61"/>
      <c r="M1761" s="61"/>
      <c r="N1761" s="61"/>
      <c r="O1761" s="61"/>
      <c r="P1761" s="61"/>
      <c r="Q1761" s="61"/>
      <c r="R1761" s="61"/>
      <c r="S1761" s="61"/>
      <c r="T1761" s="61"/>
      <c r="U1761" s="61"/>
      <c r="V1761" s="61"/>
      <c r="W1761" s="61"/>
      <c r="X1761" s="61"/>
      <c r="Y1761" s="61"/>
      <c r="Z1761" s="61"/>
      <c r="AA1761" s="61"/>
      <c r="AB1761" s="61"/>
      <c r="AC1761" s="61"/>
    </row>
    <row r="1762" ht="15.75" customHeight="1">
      <c r="A1762" s="61"/>
      <c r="B1762" s="61"/>
      <c r="C1762" s="61"/>
      <c r="D1762" s="61"/>
      <c r="E1762" s="61"/>
      <c r="F1762" s="61"/>
      <c r="G1762" s="61"/>
      <c r="H1762" s="61"/>
      <c r="I1762" s="61"/>
      <c r="J1762" s="61"/>
      <c r="K1762" s="61"/>
      <c r="L1762" s="61"/>
      <c r="M1762" s="61"/>
      <c r="N1762" s="61"/>
      <c r="O1762" s="61"/>
      <c r="P1762" s="61"/>
      <c r="Q1762" s="61"/>
      <c r="R1762" s="61"/>
      <c r="S1762" s="61"/>
      <c r="T1762" s="61"/>
      <c r="U1762" s="61"/>
      <c r="V1762" s="61"/>
      <c r="W1762" s="61"/>
      <c r="X1762" s="61"/>
      <c r="Y1762" s="61"/>
      <c r="Z1762" s="61"/>
      <c r="AA1762" s="61"/>
      <c r="AB1762" s="61"/>
      <c r="AC1762" s="61"/>
    </row>
    <row r="1763" ht="15.75" customHeight="1">
      <c r="A1763" s="61"/>
      <c r="B1763" s="61"/>
      <c r="C1763" s="61"/>
      <c r="D1763" s="61"/>
      <c r="E1763" s="61"/>
      <c r="F1763" s="61"/>
      <c r="G1763" s="61"/>
      <c r="H1763" s="61"/>
      <c r="I1763" s="61"/>
      <c r="J1763" s="61"/>
      <c r="K1763" s="61"/>
      <c r="L1763" s="61"/>
      <c r="M1763" s="61"/>
      <c r="N1763" s="61"/>
      <c r="O1763" s="61"/>
      <c r="P1763" s="61"/>
      <c r="Q1763" s="61"/>
      <c r="R1763" s="61"/>
      <c r="S1763" s="61"/>
      <c r="T1763" s="61"/>
      <c r="U1763" s="61"/>
      <c r="V1763" s="61"/>
      <c r="W1763" s="61"/>
      <c r="X1763" s="61"/>
      <c r="Y1763" s="61"/>
      <c r="Z1763" s="61"/>
      <c r="AA1763" s="61"/>
      <c r="AB1763" s="61"/>
      <c r="AC1763" s="61"/>
    </row>
    <row r="1764" ht="15.75" customHeight="1">
      <c r="A1764" s="61"/>
      <c r="B1764" s="61"/>
      <c r="C1764" s="61"/>
      <c r="D1764" s="61"/>
      <c r="E1764" s="61"/>
      <c r="F1764" s="61"/>
      <c r="G1764" s="61"/>
      <c r="H1764" s="61"/>
      <c r="I1764" s="61"/>
      <c r="J1764" s="61"/>
      <c r="K1764" s="61"/>
      <c r="L1764" s="61"/>
      <c r="M1764" s="61"/>
      <c r="N1764" s="61"/>
      <c r="O1764" s="61"/>
      <c r="P1764" s="61"/>
      <c r="Q1764" s="61"/>
      <c r="R1764" s="61"/>
      <c r="S1764" s="61"/>
      <c r="T1764" s="61"/>
      <c r="U1764" s="61"/>
      <c r="V1764" s="61"/>
      <c r="W1764" s="61"/>
      <c r="X1764" s="61"/>
      <c r="Y1764" s="61"/>
      <c r="Z1764" s="61"/>
      <c r="AA1764" s="61"/>
      <c r="AB1764" s="61"/>
      <c r="AC1764" s="61"/>
    </row>
    <row r="1765" ht="15.75" customHeight="1">
      <c r="A1765" s="61"/>
      <c r="B1765" s="61"/>
      <c r="C1765" s="61"/>
      <c r="D1765" s="61"/>
      <c r="E1765" s="61"/>
      <c r="F1765" s="61"/>
      <c r="G1765" s="61"/>
      <c r="H1765" s="61"/>
      <c r="I1765" s="61"/>
      <c r="J1765" s="61"/>
      <c r="K1765" s="61"/>
      <c r="L1765" s="61"/>
      <c r="M1765" s="61"/>
      <c r="N1765" s="61"/>
      <c r="O1765" s="61"/>
      <c r="P1765" s="61"/>
      <c r="Q1765" s="61"/>
      <c r="R1765" s="61"/>
      <c r="S1765" s="61"/>
      <c r="T1765" s="61"/>
      <c r="U1765" s="61"/>
      <c r="V1765" s="61"/>
      <c r="W1765" s="61"/>
      <c r="X1765" s="61"/>
      <c r="Y1765" s="61"/>
      <c r="Z1765" s="61"/>
      <c r="AA1765" s="61"/>
      <c r="AB1765" s="61"/>
      <c r="AC1765" s="61"/>
    </row>
    <row r="1766" ht="15.75" customHeight="1">
      <c r="A1766" s="61"/>
      <c r="B1766" s="61"/>
      <c r="C1766" s="61"/>
      <c r="D1766" s="61"/>
      <c r="E1766" s="61"/>
      <c r="F1766" s="61"/>
      <c r="G1766" s="61"/>
      <c r="H1766" s="61"/>
      <c r="I1766" s="61"/>
      <c r="J1766" s="61"/>
      <c r="K1766" s="61"/>
      <c r="L1766" s="61"/>
      <c r="M1766" s="61"/>
      <c r="N1766" s="61"/>
      <c r="O1766" s="61"/>
      <c r="P1766" s="61"/>
      <c r="Q1766" s="61"/>
      <c r="R1766" s="61"/>
      <c r="S1766" s="61"/>
      <c r="T1766" s="61"/>
      <c r="U1766" s="61"/>
      <c r="V1766" s="61"/>
      <c r="W1766" s="61"/>
      <c r="X1766" s="61"/>
      <c r="Y1766" s="61"/>
      <c r="Z1766" s="61"/>
      <c r="AA1766" s="61"/>
      <c r="AB1766" s="61"/>
      <c r="AC1766" s="61"/>
    </row>
    <row r="1767" ht="15.75" customHeight="1">
      <c r="A1767" s="61"/>
      <c r="B1767" s="61"/>
      <c r="C1767" s="61"/>
      <c r="D1767" s="61"/>
      <c r="E1767" s="61"/>
      <c r="F1767" s="61"/>
      <c r="G1767" s="61"/>
      <c r="H1767" s="61"/>
      <c r="I1767" s="61"/>
      <c r="J1767" s="61"/>
      <c r="K1767" s="61"/>
      <c r="L1767" s="61"/>
      <c r="M1767" s="61"/>
      <c r="N1767" s="61"/>
      <c r="O1767" s="61"/>
      <c r="P1767" s="61"/>
      <c r="Q1767" s="61"/>
      <c r="R1767" s="61"/>
      <c r="S1767" s="61"/>
      <c r="T1767" s="61"/>
      <c r="U1767" s="61"/>
      <c r="V1767" s="61"/>
      <c r="W1767" s="61"/>
      <c r="X1767" s="61"/>
      <c r="Y1767" s="61"/>
      <c r="Z1767" s="61"/>
      <c r="AA1767" s="61"/>
      <c r="AB1767" s="61"/>
      <c r="AC1767" s="61"/>
    </row>
    <row r="1768" ht="15.75" customHeight="1">
      <c r="A1768" s="61"/>
      <c r="B1768" s="61"/>
      <c r="C1768" s="61"/>
      <c r="D1768" s="61"/>
      <c r="E1768" s="61"/>
      <c r="F1768" s="61"/>
      <c r="G1768" s="61"/>
      <c r="H1768" s="61"/>
      <c r="I1768" s="61"/>
      <c r="J1768" s="61"/>
      <c r="K1768" s="61"/>
      <c r="L1768" s="61"/>
      <c r="M1768" s="61"/>
      <c r="N1768" s="61"/>
      <c r="O1768" s="61"/>
      <c r="P1768" s="61"/>
      <c r="Q1768" s="61"/>
      <c r="R1768" s="61"/>
      <c r="S1768" s="61"/>
      <c r="T1768" s="61"/>
      <c r="U1768" s="61"/>
      <c r="V1768" s="61"/>
      <c r="W1768" s="61"/>
      <c r="X1768" s="61"/>
      <c r="Y1768" s="61"/>
      <c r="Z1768" s="61"/>
      <c r="AA1768" s="61"/>
      <c r="AB1768" s="61"/>
      <c r="AC1768" s="61"/>
    </row>
    <row r="1769" ht="15.75" customHeight="1">
      <c r="A1769" s="61"/>
      <c r="B1769" s="61"/>
      <c r="C1769" s="61"/>
      <c r="D1769" s="61"/>
      <c r="E1769" s="61"/>
      <c r="F1769" s="61"/>
      <c r="G1769" s="61"/>
      <c r="H1769" s="61"/>
      <c r="I1769" s="61"/>
      <c r="J1769" s="61"/>
      <c r="K1769" s="61"/>
      <c r="L1769" s="61"/>
      <c r="M1769" s="61"/>
      <c r="N1769" s="61"/>
      <c r="O1769" s="61"/>
      <c r="P1769" s="61"/>
      <c r="Q1769" s="61"/>
      <c r="R1769" s="61"/>
      <c r="S1769" s="61"/>
      <c r="T1769" s="61"/>
      <c r="U1769" s="61"/>
      <c r="V1769" s="61"/>
      <c r="W1769" s="61"/>
      <c r="X1769" s="61"/>
      <c r="Y1769" s="61"/>
      <c r="Z1769" s="61"/>
      <c r="AA1769" s="61"/>
      <c r="AB1769" s="61"/>
      <c r="AC1769" s="61"/>
    </row>
    <row r="1770" ht="15.75" customHeight="1">
      <c r="A1770" s="61"/>
      <c r="B1770" s="61"/>
      <c r="C1770" s="61"/>
      <c r="D1770" s="61"/>
      <c r="E1770" s="61"/>
      <c r="F1770" s="61"/>
      <c r="G1770" s="61"/>
      <c r="H1770" s="61"/>
      <c r="I1770" s="61"/>
      <c r="J1770" s="61"/>
      <c r="K1770" s="61"/>
      <c r="L1770" s="61"/>
      <c r="M1770" s="61"/>
      <c r="N1770" s="61"/>
      <c r="O1770" s="61"/>
      <c r="P1770" s="61"/>
      <c r="Q1770" s="61"/>
      <c r="R1770" s="61"/>
      <c r="S1770" s="61"/>
      <c r="T1770" s="61"/>
      <c r="U1770" s="61"/>
      <c r="V1770" s="61"/>
      <c r="W1770" s="61"/>
      <c r="X1770" s="61"/>
      <c r="Y1770" s="61"/>
      <c r="Z1770" s="61"/>
      <c r="AA1770" s="61"/>
      <c r="AB1770" s="61"/>
      <c r="AC1770" s="61"/>
    </row>
    <row r="1771" ht="15.75" customHeight="1">
      <c r="A1771" s="61"/>
      <c r="B1771" s="61"/>
      <c r="C1771" s="61"/>
      <c r="D1771" s="61"/>
      <c r="E1771" s="61"/>
      <c r="F1771" s="61"/>
      <c r="G1771" s="61"/>
      <c r="H1771" s="61"/>
      <c r="I1771" s="61"/>
      <c r="J1771" s="61"/>
      <c r="K1771" s="61"/>
      <c r="L1771" s="61"/>
      <c r="M1771" s="61"/>
      <c r="N1771" s="61"/>
      <c r="O1771" s="61"/>
      <c r="P1771" s="61"/>
      <c r="Q1771" s="61"/>
      <c r="R1771" s="61"/>
      <c r="S1771" s="61"/>
      <c r="T1771" s="61"/>
      <c r="U1771" s="61"/>
      <c r="V1771" s="61"/>
      <c r="W1771" s="61"/>
      <c r="X1771" s="61"/>
      <c r="Y1771" s="61"/>
      <c r="Z1771" s="61"/>
      <c r="AA1771" s="61"/>
      <c r="AB1771" s="61"/>
      <c r="AC1771" s="61"/>
    </row>
    <row r="1772" ht="15.75" customHeight="1">
      <c r="A1772" s="61"/>
      <c r="B1772" s="61"/>
      <c r="C1772" s="61"/>
      <c r="D1772" s="61"/>
      <c r="E1772" s="61"/>
      <c r="F1772" s="61"/>
      <c r="G1772" s="61"/>
      <c r="H1772" s="61"/>
      <c r="I1772" s="61"/>
      <c r="J1772" s="61"/>
      <c r="K1772" s="61"/>
      <c r="L1772" s="61"/>
      <c r="M1772" s="61"/>
      <c r="N1772" s="61"/>
      <c r="O1772" s="61"/>
      <c r="P1772" s="61"/>
      <c r="Q1772" s="61"/>
      <c r="R1772" s="61"/>
      <c r="S1772" s="61"/>
      <c r="T1772" s="61"/>
      <c r="U1772" s="61"/>
      <c r="V1772" s="61"/>
      <c r="W1772" s="61"/>
      <c r="X1772" s="61"/>
      <c r="Y1772" s="61"/>
      <c r="Z1772" s="61"/>
      <c r="AA1772" s="61"/>
      <c r="AB1772" s="61"/>
      <c r="AC1772" s="61"/>
    </row>
    <row r="1773" ht="15.75" customHeight="1">
      <c r="A1773" s="61"/>
      <c r="B1773" s="61"/>
      <c r="C1773" s="61"/>
      <c r="D1773" s="61"/>
      <c r="E1773" s="61"/>
      <c r="F1773" s="61"/>
      <c r="G1773" s="61"/>
      <c r="H1773" s="61"/>
      <c r="I1773" s="61"/>
      <c r="J1773" s="61"/>
      <c r="K1773" s="61"/>
      <c r="L1773" s="61"/>
      <c r="M1773" s="61"/>
      <c r="N1773" s="61"/>
      <c r="O1773" s="61"/>
      <c r="P1773" s="61"/>
      <c r="Q1773" s="61"/>
      <c r="R1773" s="61"/>
      <c r="S1773" s="61"/>
      <c r="T1773" s="61"/>
      <c r="U1773" s="61"/>
      <c r="V1773" s="61"/>
      <c r="W1773" s="61"/>
      <c r="X1773" s="61"/>
      <c r="Y1773" s="61"/>
      <c r="Z1773" s="61"/>
      <c r="AA1773" s="61"/>
      <c r="AB1773" s="61"/>
      <c r="AC1773" s="61"/>
    </row>
    <row r="1774" ht="15.75" customHeight="1">
      <c r="A1774" s="61"/>
      <c r="B1774" s="61"/>
      <c r="C1774" s="61"/>
      <c r="D1774" s="61"/>
      <c r="E1774" s="61"/>
      <c r="F1774" s="61"/>
      <c r="G1774" s="61"/>
      <c r="H1774" s="61"/>
      <c r="I1774" s="61"/>
      <c r="J1774" s="61"/>
      <c r="K1774" s="61"/>
      <c r="L1774" s="61"/>
      <c r="M1774" s="61"/>
      <c r="N1774" s="61"/>
      <c r="O1774" s="61"/>
      <c r="P1774" s="61"/>
      <c r="Q1774" s="61"/>
      <c r="R1774" s="61"/>
      <c r="S1774" s="61"/>
      <c r="T1774" s="61"/>
      <c r="U1774" s="61"/>
      <c r="V1774" s="61"/>
      <c r="W1774" s="61"/>
      <c r="X1774" s="61"/>
      <c r="Y1774" s="61"/>
      <c r="Z1774" s="61"/>
      <c r="AA1774" s="61"/>
      <c r="AB1774" s="61"/>
      <c r="AC1774" s="61"/>
    </row>
    <row r="1775" ht="15.75" customHeight="1">
      <c r="A1775" s="61"/>
      <c r="B1775" s="61"/>
      <c r="C1775" s="61"/>
      <c r="D1775" s="61"/>
      <c r="E1775" s="61"/>
      <c r="F1775" s="61"/>
      <c r="G1775" s="61"/>
      <c r="H1775" s="61"/>
      <c r="I1775" s="61"/>
      <c r="J1775" s="61"/>
      <c r="K1775" s="61"/>
      <c r="L1775" s="61"/>
      <c r="M1775" s="61"/>
      <c r="N1775" s="61"/>
      <c r="O1775" s="61"/>
      <c r="P1775" s="61"/>
      <c r="Q1775" s="61"/>
      <c r="R1775" s="61"/>
      <c r="S1775" s="61"/>
      <c r="T1775" s="61"/>
      <c r="U1775" s="61"/>
      <c r="V1775" s="61"/>
      <c r="W1775" s="61"/>
      <c r="X1775" s="61"/>
      <c r="Y1775" s="61"/>
      <c r="Z1775" s="61"/>
      <c r="AA1775" s="61"/>
      <c r="AB1775" s="61"/>
      <c r="AC1775" s="61"/>
    </row>
    <row r="1776" ht="15.75" customHeight="1">
      <c r="A1776" s="61"/>
      <c r="B1776" s="61"/>
      <c r="C1776" s="61"/>
      <c r="D1776" s="61"/>
      <c r="E1776" s="61"/>
      <c r="F1776" s="61"/>
      <c r="G1776" s="61"/>
      <c r="H1776" s="61"/>
      <c r="I1776" s="61"/>
      <c r="J1776" s="61"/>
      <c r="K1776" s="61"/>
      <c r="L1776" s="61"/>
      <c r="M1776" s="61"/>
      <c r="N1776" s="61"/>
      <c r="O1776" s="61"/>
      <c r="P1776" s="61"/>
      <c r="Q1776" s="61"/>
      <c r="R1776" s="61"/>
      <c r="S1776" s="61"/>
      <c r="T1776" s="61"/>
      <c r="U1776" s="61"/>
      <c r="V1776" s="61"/>
      <c r="W1776" s="61"/>
      <c r="X1776" s="61"/>
      <c r="Y1776" s="61"/>
      <c r="Z1776" s="61"/>
      <c r="AA1776" s="61"/>
      <c r="AB1776" s="61"/>
      <c r="AC1776" s="61"/>
    </row>
    <row r="1777" ht="15.75" customHeight="1">
      <c r="A1777" s="61"/>
      <c r="B1777" s="61"/>
      <c r="C1777" s="61"/>
      <c r="D1777" s="61"/>
      <c r="E1777" s="61"/>
      <c r="F1777" s="61"/>
      <c r="G1777" s="61"/>
      <c r="H1777" s="61"/>
      <c r="I1777" s="61"/>
      <c r="J1777" s="61"/>
      <c r="K1777" s="61"/>
      <c r="L1777" s="61"/>
      <c r="M1777" s="61"/>
      <c r="N1777" s="61"/>
      <c r="O1777" s="61"/>
      <c r="P1777" s="61"/>
      <c r="Q1777" s="61"/>
      <c r="R1777" s="61"/>
      <c r="S1777" s="61"/>
      <c r="T1777" s="61"/>
      <c r="U1777" s="61"/>
      <c r="V1777" s="61"/>
      <c r="W1777" s="61"/>
      <c r="X1777" s="61"/>
      <c r="Y1777" s="61"/>
      <c r="Z1777" s="61"/>
      <c r="AA1777" s="61"/>
      <c r="AB1777" s="61"/>
      <c r="AC1777" s="61"/>
    </row>
    <row r="1778" ht="15.75" customHeight="1">
      <c r="A1778" s="61"/>
      <c r="B1778" s="61"/>
      <c r="C1778" s="61"/>
      <c r="D1778" s="61"/>
      <c r="E1778" s="61"/>
      <c r="F1778" s="61"/>
      <c r="G1778" s="61"/>
      <c r="H1778" s="61"/>
      <c r="I1778" s="61"/>
      <c r="J1778" s="61"/>
      <c r="K1778" s="61"/>
      <c r="L1778" s="61"/>
      <c r="M1778" s="61"/>
      <c r="N1778" s="61"/>
      <c r="O1778" s="61"/>
      <c r="P1778" s="61"/>
      <c r="Q1778" s="61"/>
      <c r="R1778" s="61"/>
      <c r="S1778" s="61"/>
      <c r="T1778" s="61"/>
      <c r="U1778" s="61"/>
      <c r="V1778" s="61"/>
      <c r="W1778" s="61"/>
      <c r="X1778" s="61"/>
      <c r="Y1778" s="61"/>
      <c r="Z1778" s="61"/>
      <c r="AA1778" s="61"/>
      <c r="AB1778" s="61"/>
      <c r="AC1778" s="61"/>
    </row>
    <row r="1779" ht="15.75" customHeight="1">
      <c r="A1779" s="61"/>
      <c r="B1779" s="61"/>
      <c r="C1779" s="61"/>
      <c r="D1779" s="61"/>
      <c r="E1779" s="61"/>
      <c r="F1779" s="61"/>
      <c r="G1779" s="61"/>
      <c r="H1779" s="61"/>
      <c r="I1779" s="61"/>
      <c r="J1779" s="61"/>
      <c r="K1779" s="61"/>
      <c r="L1779" s="61"/>
      <c r="M1779" s="61"/>
      <c r="N1779" s="61"/>
      <c r="O1779" s="61"/>
      <c r="P1779" s="61"/>
      <c r="Q1779" s="61"/>
      <c r="R1779" s="61"/>
      <c r="S1779" s="61"/>
      <c r="T1779" s="61"/>
      <c r="U1779" s="61"/>
      <c r="V1779" s="61"/>
      <c r="W1779" s="61"/>
      <c r="X1779" s="61"/>
      <c r="Y1779" s="61"/>
      <c r="Z1779" s="61"/>
      <c r="AA1779" s="61"/>
      <c r="AB1779" s="61"/>
      <c r="AC1779" s="61"/>
    </row>
    <row r="1780" ht="15.75" customHeight="1">
      <c r="A1780" s="61"/>
      <c r="B1780" s="61"/>
      <c r="C1780" s="61"/>
      <c r="D1780" s="61"/>
      <c r="E1780" s="61"/>
      <c r="F1780" s="61"/>
      <c r="G1780" s="61"/>
      <c r="H1780" s="61"/>
      <c r="I1780" s="61"/>
      <c r="J1780" s="61"/>
      <c r="K1780" s="61"/>
      <c r="L1780" s="61"/>
      <c r="M1780" s="61"/>
      <c r="N1780" s="61"/>
      <c r="O1780" s="61"/>
      <c r="P1780" s="61"/>
      <c r="Q1780" s="61"/>
      <c r="R1780" s="61"/>
      <c r="S1780" s="61"/>
      <c r="T1780" s="61"/>
      <c r="U1780" s="61"/>
      <c r="V1780" s="61"/>
      <c r="W1780" s="61"/>
      <c r="X1780" s="61"/>
      <c r="Y1780" s="61"/>
      <c r="Z1780" s="61"/>
      <c r="AA1780" s="61"/>
      <c r="AB1780" s="61"/>
      <c r="AC1780" s="61"/>
    </row>
    <row r="1781" ht="15.75" customHeight="1">
      <c r="A1781" s="61"/>
      <c r="B1781" s="61"/>
      <c r="C1781" s="61"/>
      <c r="D1781" s="61"/>
      <c r="E1781" s="61"/>
      <c r="F1781" s="61"/>
      <c r="G1781" s="61"/>
      <c r="H1781" s="61"/>
      <c r="I1781" s="61"/>
      <c r="J1781" s="61"/>
      <c r="K1781" s="61"/>
      <c r="L1781" s="61"/>
      <c r="M1781" s="61"/>
      <c r="N1781" s="61"/>
      <c r="O1781" s="61"/>
      <c r="P1781" s="61"/>
      <c r="Q1781" s="61"/>
      <c r="R1781" s="61"/>
      <c r="S1781" s="61"/>
      <c r="T1781" s="61"/>
      <c r="U1781" s="61"/>
      <c r="V1781" s="61"/>
      <c r="W1781" s="61"/>
      <c r="X1781" s="61"/>
      <c r="Y1781" s="61"/>
      <c r="Z1781" s="61"/>
      <c r="AA1781" s="61"/>
      <c r="AB1781" s="61"/>
      <c r="AC1781" s="61"/>
    </row>
    <row r="1782" ht="15.75" customHeight="1">
      <c r="A1782" s="61"/>
      <c r="B1782" s="61"/>
      <c r="C1782" s="61"/>
      <c r="D1782" s="61"/>
      <c r="E1782" s="61"/>
      <c r="F1782" s="61"/>
      <c r="G1782" s="61"/>
      <c r="H1782" s="61"/>
      <c r="I1782" s="61"/>
      <c r="J1782" s="61"/>
      <c r="K1782" s="61"/>
      <c r="L1782" s="61"/>
      <c r="M1782" s="61"/>
      <c r="N1782" s="61"/>
      <c r="O1782" s="61"/>
      <c r="P1782" s="61"/>
      <c r="Q1782" s="61"/>
      <c r="R1782" s="61"/>
      <c r="S1782" s="61"/>
      <c r="T1782" s="61"/>
      <c r="U1782" s="61"/>
      <c r="V1782" s="61"/>
      <c r="W1782" s="61"/>
      <c r="X1782" s="61"/>
      <c r="Y1782" s="61"/>
      <c r="Z1782" s="61"/>
      <c r="AA1782" s="61"/>
      <c r="AB1782" s="61"/>
      <c r="AC1782" s="61"/>
    </row>
    <row r="1783" ht="15.75" customHeight="1">
      <c r="A1783" s="61"/>
      <c r="B1783" s="61"/>
      <c r="C1783" s="61"/>
      <c r="D1783" s="61"/>
      <c r="E1783" s="61"/>
      <c r="F1783" s="61"/>
      <c r="G1783" s="61"/>
      <c r="H1783" s="61"/>
      <c r="I1783" s="61"/>
      <c r="J1783" s="61"/>
      <c r="K1783" s="61"/>
      <c r="L1783" s="61"/>
      <c r="M1783" s="61"/>
      <c r="N1783" s="61"/>
      <c r="O1783" s="61"/>
      <c r="P1783" s="61"/>
      <c r="Q1783" s="61"/>
      <c r="R1783" s="61"/>
      <c r="S1783" s="61"/>
      <c r="T1783" s="61"/>
      <c r="U1783" s="61"/>
      <c r="V1783" s="61"/>
      <c r="W1783" s="61"/>
      <c r="X1783" s="61"/>
      <c r="Y1783" s="61"/>
      <c r="Z1783" s="61"/>
      <c r="AA1783" s="61"/>
      <c r="AB1783" s="61"/>
      <c r="AC1783" s="61"/>
    </row>
    <row r="1784" ht="15.75" customHeight="1">
      <c r="A1784" s="61"/>
      <c r="B1784" s="61"/>
      <c r="C1784" s="61"/>
      <c r="D1784" s="61"/>
      <c r="E1784" s="61"/>
      <c r="F1784" s="61"/>
      <c r="G1784" s="61"/>
      <c r="H1784" s="61"/>
      <c r="I1784" s="61"/>
      <c r="J1784" s="61"/>
      <c r="K1784" s="61"/>
      <c r="L1784" s="61"/>
      <c r="M1784" s="61"/>
      <c r="N1784" s="61"/>
      <c r="O1784" s="61"/>
      <c r="P1784" s="61"/>
      <c r="Q1784" s="61"/>
      <c r="R1784" s="61"/>
      <c r="S1784" s="61"/>
      <c r="T1784" s="61"/>
      <c r="U1784" s="61"/>
      <c r="V1784" s="61"/>
      <c r="W1784" s="61"/>
      <c r="X1784" s="61"/>
      <c r="Y1784" s="61"/>
      <c r="Z1784" s="61"/>
      <c r="AA1784" s="61"/>
      <c r="AB1784" s="61"/>
      <c r="AC1784" s="61"/>
    </row>
    <row r="1785" ht="15.75" customHeight="1">
      <c r="A1785" s="61"/>
      <c r="B1785" s="61"/>
      <c r="C1785" s="61"/>
      <c r="D1785" s="61"/>
      <c r="E1785" s="61"/>
      <c r="F1785" s="61"/>
      <c r="G1785" s="61"/>
      <c r="H1785" s="61"/>
      <c r="I1785" s="61"/>
      <c r="J1785" s="61"/>
      <c r="K1785" s="61"/>
      <c r="L1785" s="61"/>
      <c r="M1785" s="61"/>
      <c r="N1785" s="61"/>
      <c r="O1785" s="61"/>
      <c r="P1785" s="61"/>
      <c r="Q1785" s="61"/>
      <c r="R1785" s="61"/>
      <c r="S1785" s="61"/>
      <c r="T1785" s="61"/>
      <c r="U1785" s="61"/>
      <c r="V1785" s="61"/>
      <c r="W1785" s="61"/>
      <c r="X1785" s="61"/>
      <c r="Y1785" s="61"/>
      <c r="Z1785" s="61"/>
      <c r="AA1785" s="61"/>
      <c r="AB1785" s="61"/>
      <c r="AC1785" s="61"/>
    </row>
    <row r="1786" ht="15.75" customHeight="1">
      <c r="A1786" s="61"/>
      <c r="B1786" s="61"/>
      <c r="C1786" s="61"/>
      <c r="D1786" s="61"/>
      <c r="E1786" s="61"/>
      <c r="F1786" s="61"/>
      <c r="G1786" s="61"/>
      <c r="H1786" s="61"/>
      <c r="I1786" s="61"/>
      <c r="J1786" s="61"/>
      <c r="K1786" s="61"/>
      <c r="L1786" s="61"/>
      <c r="M1786" s="61"/>
      <c r="N1786" s="61"/>
      <c r="O1786" s="61"/>
      <c r="P1786" s="61"/>
      <c r="Q1786" s="61"/>
      <c r="R1786" s="61"/>
      <c r="S1786" s="61"/>
      <c r="T1786" s="61"/>
      <c r="U1786" s="61"/>
      <c r="V1786" s="61"/>
      <c r="W1786" s="61"/>
      <c r="X1786" s="61"/>
      <c r="Y1786" s="61"/>
      <c r="Z1786" s="61"/>
      <c r="AA1786" s="61"/>
      <c r="AB1786" s="61"/>
      <c r="AC1786" s="61"/>
    </row>
    <row r="1787" ht="15.75" customHeight="1">
      <c r="A1787" s="61"/>
      <c r="B1787" s="61"/>
      <c r="C1787" s="61"/>
      <c r="D1787" s="61"/>
      <c r="E1787" s="61"/>
      <c r="F1787" s="61"/>
      <c r="G1787" s="61"/>
      <c r="H1787" s="61"/>
      <c r="I1787" s="61"/>
      <c r="J1787" s="61"/>
      <c r="K1787" s="61"/>
      <c r="L1787" s="61"/>
      <c r="M1787" s="61"/>
      <c r="N1787" s="61"/>
      <c r="O1787" s="61"/>
      <c r="P1787" s="61"/>
      <c r="Q1787" s="61"/>
      <c r="R1787" s="61"/>
      <c r="S1787" s="61"/>
      <c r="T1787" s="61"/>
      <c r="U1787" s="61"/>
      <c r="V1787" s="61"/>
      <c r="W1787" s="61"/>
      <c r="X1787" s="61"/>
      <c r="Y1787" s="61"/>
      <c r="Z1787" s="61"/>
      <c r="AA1787" s="61"/>
      <c r="AB1787" s="61"/>
      <c r="AC1787" s="61"/>
    </row>
    <row r="1788" ht="15.75" customHeight="1">
      <c r="A1788" s="61"/>
      <c r="B1788" s="61"/>
      <c r="C1788" s="61"/>
      <c r="D1788" s="61"/>
      <c r="E1788" s="61"/>
      <c r="F1788" s="61"/>
      <c r="G1788" s="61"/>
      <c r="H1788" s="61"/>
      <c r="I1788" s="61"/>
      <c r="J1788" s="61"/>
      <c r="K1788" s="61"/>
      <c r="L1788" s="61"/>
      <c r="M1788" s="61"/>
      <c r="N1788" s="61"/>
      <c r="O1788" s="61"/>
      <c r="P1788" s="61"/>
      <c r="Q1788" s="61"/>
      <c r="R1788" s="61"/>
      <c r="S1788" s="61"/>
      <c r="T1788" s="61"/>
      <c r="U1788" s="61"/>
      <c r="V1788" s="61"/>
      <c r="W1788" s="61"/>
      <c r="X1788" s="61"/>
      <c r="Y1788" s="61"/>
      <c r="Z1788" s="61"/>
      <c r="AA1788" s="61"/>
      <c r="AB1788" s="61"/>
      <c r="AC1788" s="61"/>
    </row>
    <row r="1789" ht="15.75" customHeight="1">
      <c r="A1789" s="61"/>
      <c r="B1789" s="61"/>
      <c r="C1789" s="61"/>
      <c r="D1789" s="61"/>
      <c r="E1789" s="61"/>
      <c r="F1789" s="61"/>
      <c r="G1789" s="61"/>
      <c r="H1789" s="61"/>
      <c r="I1789" s="61"/>
      <c r="J1789" s="61"/>
      <c r="K1789" s="61"/>
      <c r="L1789" s="61"/>
      <c r="M1789" s="61"/>
      <c r="N1789" s="61"/>
      <c r="O1789" s="61"/>
      <c r="P1789" s="61"/>
      <c r="Q1789" s="61"/>
      <c r="R1789" s="61"/>
      <c r="S1789" s="61"/>
      <c r="T1789" s="61"/>
      <c r="U1789" s="61"/>
      <c r="V1789" s="61"/>
      <c r="W1789" s="61"/>
      <c r="X1789" s="61"/>
      <c r="Y1789" s="61"/>
      <c r="Z1789" s="61"/>
      <c r="AA1789" s="61"/>
      <c r="AB1789" s="61"/>
      <c r="AC1789" s="61"/>
    </row>
    <row r="1790" ht="15.75" customHeight="1">
      <c r="A1790" s="61"/>
      <c r="B1790" s="61"/>
      <c r="C1790" s="61"/>
      <c r="D1790" s="61"/>
      <c r="E1790" s="61"/>
      <c r="F1790" s="61"/>
      <c r="G1790" s="61"/>
      <c r="H1790" s="61"/>
      <c r="I1790" s="61"/>
      <c r="J1790" s="61"/>
      <c r="K1790" s="61"/>
      <c r="L1790" s="61"/>
      <c r="M1790" s="61"/>
      <c r="N1790" s="61"/>
      <c r="O1790" s="61"/>
      <c r="P1790" s="61"/>
      <c r="Q1790" s="61"/>
      <c r="R1790" s="61"/>
      <c r="S1790" s="61"/>
      <c r="T1790" s="61"/>
      <c r="U1790" s="61"/>
      <c r="V1790" s="61"/>
      <c r="W1790" s="61"/>
      <c r="X1790" s="61"/>
      <c r="Y1790" s="61"/>
      <c r="Z1790" s="61"/>
      <c r="AA1790" s="61"/>
      <c r="AB1790" s="61"/>
      <c r="AC1790" s="61"/>
    </row>
    <row r="1791" ht="15.75" customHeight="1">
      <c r="A1791" s="61"/>
      <c r="B1791" s="61"/>
      <c r="C1791" s="61"/>
      <c r="D1791" s="61"/>
      <c r="E1791" s="61"/>
      <c r="F1791" s="61"/>
      <c r="G1791" s="61"/>
      <c r="H1791" s="61"/>
      <c r="I1791" s="61"/>
      <c r="J1791" s="61"/>
      <c r="K1791" s="61"/>
      <c r="L1791" s="61"/>
      <c r="M1791" s="61"/>
      <c r="N1791" s="61"/>
      <c r="O1791" s="61"/>
      <c r="P1791" s="61"/>
      <c r="Q1791" s="61"/>
      <c r="R1791" s="61"/>
      <c r="S1791" s="61"/>
      <c r="T1791" s="61"/>
      <c r="U1791" s="61"/>
      <c r="V1791" s="61"/>
      <c r="W1791" s="61"/>
      <c r="X1791" s="61"/>
      <c r="Y1791" s="61"/>
      <c r="Z1791" s="61"/>
      <c r="AA1791" s="61"/>
      <c r="AB1791" s="61"/>
      <c r="AC1791" s="61"/>
    </row>
    <row r="1792" ht="15.75" customHeight="1">
      <c r="A1792" s="61"/>
      <c r="B1792" s="61"/>
      <c r="C1792" s="61"/>
      <c r="D1792" s="61"/>
      <c r="E1792" s="61"/>
      <c r="F1792" s="61"/>
      <c r="G1792" s="61"/>
      <c r="H1792" s="61"/>
      <c r="I1792" s="61"/>
      <c r="J1792" s="61"/>
      <c r="K1792" s="61"/>
      <c r="L1792" s="61"/>
      <c r="M1792" s="61"/>
      <c r="N1792" s="61"/>
      <c r="O1792" s="61"/>
      <c r="P1792" s="61"/>
      <c r="Q1792" s="61"/>
      <c r="R1792" s="61"/>
      <c r="S1792" s="61"/>
      <c r="T1792" s="61"/>
      <c r="U1792" s="61"/>
      <c r="V1792" s="61"/>
      <c r="W1792" s="61"/>
      <c r="X1792" s="61"/>
      <c r="Y1792" s="61"/>
      <c r="Z1792" s="61"/>
      <c r="AA1792" s="61"/>
      <c r="AB1792" s="61"/>
      <c r="AC1792" s="61"/>
    </row>
    <row r="1793" ht="15.75" customHeight="1">
      <c r="A1793" s="61"/>
      <c r="B1793" s="61"/>
      <c r="C1793" s="61"/>
      <c r="D1793" s="61"/>
      <c r="E1793" s="61"/>
      <c r="F1793" s="61"/>
      <c r="G1793" s="61"/>
      <c r="H1793" s="61"/>
      <c r="I1793" s="61"/>
      <c r="J1793" s="61"/>
      <c r="K1793" s="61"/>
      <c r="L1793" s="61"/>
      <c r="M1793" s="61"/>
      <c r="N1793" s="61"/>
      <c r="O1793" s="61"/>
      <c r="P1793" s="61"/>
      <c r="Q1793" s="61"/>
      <c r="R1793" s="61"/>
      <c r="S1793" s="61"/>
      <c r="T1793" s="61"/>
      <c r="U1793" s="61"/>
      <c r="V1793" s="61"/>
      <c r="W1793" s="61"/>
      <c r="X1793" s="61"/>
      <c r="Y1793" s="61"/>
      <c r="Z1793" s="61"/>
      <c r="AA1793" s="61"/>
      <c r="AB1793" s="61"/>
      <c r="AC1793" s="61"/>
    </row>
    <row r="1794" ht="15.75" customHeight="1">
      <c r="A1794" s="61"/>
      <c r="B1794" s="61"/>
      <c r="C1794" s="61"/>
      <c r="D1794" s="61"/>
      <c r="E1794" s="61"/>
      <c r="F1794" s="61"/>
      <c r="G1794" s="61"/>
      <c r="H1794" s="61"/>
      <c r="I1794" s="61"/>
      <c r="J1794" s="61"/>
      <c r="K1794" s="61"/>
      <c r="L1794" s="61"/>
      <c r="M1794" s="61"/>
      <c r="N1794" s="61"/>
      <c r="O1794" s="61"/>
      <c r="P1794" s="61"/>
      <c r="Q1794" s="61"/>
      <c r="R1794" s="61"/>
      <c r="S1794" s="61"/>
      <c r="T1794" s="61"/>
      <c r="U1794" s="61"/>
      <c r="V1794" s="61"/>
      <c r="W1794" s="61"/>
      <c r="X1794" s="61"/>
      <c r="Y1794" s="61"/>
      <c r="Z1794" s="61"/>
      <c r="AA1794" s="61"/>
      <c r="AB1794" s="61"/>
      <c r="AC1794" s="61"/>
    </row>
    <row r="1795" ht="15.75" customHeight="1">
      <c r="A1795" s="61"/>
      <c r="B1795" s="61"/>
      <c r="C1795" s="61"/>
      <c r="D1795" s="61"/>
      <c r="E1795" s="61"/>
      <c r="F1795" s="61"/>
      <c r="G1795" s="61"/>
      <c r="H1795" s="61"/>
      <c r="I1795" s="61"/>
      <c r="J1795" s="61"/>
      <c r="K1795" s="61"/>
      <c r="L1795" s="61"/>
      <c r="M1795" s="61"/>
      <c r="N1795" s="61"/>
      <c r="O1795" s="61"/>
      <c r="P1795" s="61"/>
      <c r="Q1795" s="61"/>
      <c r="R1795" s="61"/>
      <c r="S1795" s="61"/>
      <c r="T1795" s="61"/>
      <c r="U1795" s="61"/>
      <c r="V1795" s="61"/>
      <c r="W1795" s="61"/>
      <c r="X1795" s="61"/>
      <c r="Y1795" s="61"/>
      <c r="Z1795" s="61"/>
      <c r="AA1795" s="61"/>
      <c r="AB1795" s="61"/>
      <c r="AC1795" s="61"/>
    </row>
    <row r="1796" ht="15.75" customHeight="1">
      <c r="A1796" s="61"/>
      <c r="B1796" s="61"/>
      <c r="C1796" s="61"/>
      <c r="D1796" s="61"/>
      <c r="E1796" s="61"/>
      <c r="F1796" s="61"/>
      <c r="G1796" s="61"/>
      <c r="H1796" s="61"/>
      <c r="I1796" s="61"/>
      <c r="J1796" s="61"/>
      <c r="K1796" s="61"/>
      <c r="L1796" s="61"/>
      <c r="M1796" s="61"/>
      <c r="N1796" s="61"/>
      <c r="O1796" s="61"/>
      <c r="P1796" s="61"/>
      <c r="Q1796" s="61"/>
      <c r="R1796" s="61"/>
      <c r="S1796" s="61"/>
      <c r="T1796" s="61"/>
      <c r="U1796" s="61"/>
      <c r="V1796" s="61"/>
      <c r="W1796" s="61"/>
      <c r="X1796" s="61"/>
      <c r="Y1796" s="61"/>
      <c r="Z1796" s="61"/>
      <c r="AA1796" s="61"/>
      <c r="AB1796" s="61"/>
      <c r="AC1796" s="61"/>
    </row>
    <row r="1797" ht="15.75" customHeight="1">
      <c r="A1797" s="61"/>
      <c r="B1797" s="61"/>
      <c r="C1797" s="61"/>
      <c r="D1797" s="61"/>
      <c r="E1797" s="61"/>
      <c r="F1797" s="61"/>
      <c r="G1797" s="61"/>
      <c r="H1797" s="61"/>
      <c r="I1797" s="61"/>
      <c r="J1797" s="61"/>
      <c r="K1797" s="61"/>
      <c r="L1797" s="61"/>
      <c r="M1797" s="61"/>
      <c r="N1797" s="61"/>
      <c r="O1797" s="61"/>
      <c r="P1797" s="61"/>
      <c r="Q1797" s="61"/>
      <c r="R1797" s="61"/>
      <c r="S1797" s="61"/>
      <c r="T1797" s="61"/>
      <c r="U1797" s="61"/>
      <c r="V1797" s="61"/>
      <c r="W1797" s="61"/>
      <c r="X1797" s="61"/>
      <c r="Y1797" s="61"/>
      <c r="Z1797" s="61"/>
      <c r="AA1797" s="61"/>
      <c r="AB1797" s="61"/>
      <c r="AC1797" s="61"/>
    </row>
    <row r="1798" ht="15.75" customHeight="1">
      <c r="A1798" s="61"/>
      <c r="B1798" s="61"/>
      <c r="C1798" s="61"/>
      <c r="D1798" s="61"/>
      <c r="E1798" s="61"/>
      <c r="F1798" s="61"/>
      <c r="G1798" s="61"/>
      <c r="H1798" s="61"/>
      <c r="I1798" s="61"/>
      <c r="J1798" s="61"/>
      <c r="K1798" s="61"/>
      <c r="L1798" s="61"/>
      <c r="M1798" s="61"/>
      <c r="N1798" s="61"/>
      <c r="O1798" s="61"/>
      <c r="P1798" s="61"/>
      <c r="Q1798" s="61"/>
      <c r="R1798" s="61"/>
      <c r="S1798" s="61"/>
      <c r="T1798" s="61"/>
      <c r="U1798" s="61"/>
      <c r="V1798" s="61"/>
      <c r="W1798" s="61"/>
      <c r="X1798" s="61"/>
      <c r="Y1798" s="61"/>
      <c r="Z1798" s="61"/>
      <c r="AA1798" s="61"/>
      <c r="AB1798" s="61"/>
      <c r="AC1798" s="61"/>
    </row>
    <row r="1799" ht="15.75" customHeight="1">
      <c r="A1799" s="61"/>
      <c r="B1799" s="61"/>
      <c r="C1799" s="61"/>
      <c r="D1799" s="61"/>
      <c r="E1799" s="61"/>
      <c r="F1799" s="61"/>
      <c r="G1799" s="61"/>
      <c r="H1799" s="61"/>
      <c r="I1799" s="61"/>
      <c r="J1799" s="61"/>
      <c r="K1799" s="61"/>
      <c r="L1799" s="61"/>
      <c r="M1799" s="61"/>
      <c r="N1799" s="61"/>
      <c r="O1799" s="61"/>
      <c r="P1799" s="61"/>
      <c r="Q1799" s="61"/>
      <c r="R1799" s="61"/>
      <c r="S1799" s="61"/>
      <c r="T1799" s="61"/>
      <c r="U1799" s="61"/>
      <c r="V1799" s="61"/>
      <c r="W1799" s="61"/>
      <c r="X1799" s="61"/>
      <c r="Y1799" s="61"/>
      <c r="Z1799" s="61"/>
      <c r="AA1799" s="61"/>
      <c r="AB1799" s="61"/>
      <c r="AC1799" s="61"/>
    </row>
    <row r="1800" ht="15.75" customHeight="1">
      <c r="A1800" s="61"/>
      <c r="B1800" s="61"/>
      <c r="C1800" s="61"/>
      <c r="D1800" s="61"/>
      <c r="E1800" s="61"/>
      <c r="F1800" s="61"/>
      <c r="G1800" s="61"/>
      <c r="H1800" s="61"/>
      <c r="I1800" s="61"/>
      <c r="J1800" s="61"/>
      <c r="K1800" s="61"/>
      <c r="L1800" s="61"/>
      <c r="M1800" s="61"/>
      <c r="N1800" s="61"/>
      <c r="O1800" s="61"/>
      <c r="P1800" s="61"/>
      <c r="Q1800" s="61"/>
      <c r="R1800" s="61"/>
      <c r="S1800" s="61"/>
      <c r="T1800" s="61"/>
      <c r="U1800" s="61"/>
      <c r="V1800" s="61"/>
      <c r="W1800" s="61"/>
      <c r="X1800" s="61"/>
      <c r="Y1800" s="61"/>
      <c r="Z1800" s="61"/>
      <c r="AA1800" s="61"/>
      <c r="AB1800" s="61"/>
      <c r="AC1800" s="61"/>
    </row>
    <row r="1801" ht="15.75" customHeight="1">
      <c r="A1801" s="61"/>
      <c r="B1801" s="61"/>
      <c r="C1801" s="61"/>
      <c r="D1801" s="61"/>
      <c r="E1801" s="61"/>
      <c r="F1801" s="61"/>
      <c r="G1801" s="61"/>
      <c r="H1801" s="61"/>
      <c r="I1801" s="61"/>
      <c r="J1801" s="61"/>
      <c r="K1801" s="61"/>
      <c r="L1801" s="61"/>
      <c r="M1801" s="61"/>
      <c r="N1801" s="61"/>
      <c r="O1801" s="61"/>
      <c r="P1801" s="61"/>
      <c r="Q1801" s="61"/>
      <c r="R1801" s="61"/>
      <c r="S1801" s="61"/>
      <c r="T1801" s="61"/>
      <c r="U1801" s="61"/>
      <c r="V1801" s="61"/>
      <c r="W1801" s="61"/>
      <c r="X1801" s="61"/>
      <c r="Y1801" s="61"/>
      <c r="Z1801" s="61"/>
      <c r="AA1801" s="61"/>
      <c r="AB1801" s="61"/>
      <c r="AC1801" s="61"/>
    </row>
    <row r="1802" ht="15.75" customHeight="1">
      <c r="A1802" s="61"/>
      <c r="B1802" s="61"/>
      <c r="C1802" s="61"/>
      <c r="D1802" s="61"/>
      <c r="E1802" s="61"/>
      <c r="F1802" s="61"/>
      <c r="G1802" s="61"/>
      <c r="H1802" s="61"/>
      <c r="I1802" s="61"/>
      <c r="J1802" s="61"/>
      <c r="K1802" s="61"/>
      <c r="L1802" s="61"/>
      <c r="M1802" s="61"/>
      <c r="N1802" s="61"/>
      <c r="O1802" s="61"/>
      <c r="P1802" s="61"/>
      <c r="Q1802" s="61"/>
      <c r="R1802" s="61"/>
      <c r="S1802" s="61"/>
      <c r="T1802" s="61"/>
      <c r="U1802" s="61"/>
      <c r="V1802" s="61"/>
      <c r="W1802" s="61"/>
      <c r="X1802" s="61"/>
      <c r="Y1802" s="61"/>
      <c r="Z1802" s="61"/>
      <c r="AA1802" s="61"/>
      <c r="AB1802" s="61"/>
      <c r="AC1802" s="61"/>
    </row>
    <row r="1803" ht="15.75" customHeight="1">
      <c r="A1803" s="61"/>
      <c r="B1803" s="61"/>
      <c r="C1803" s="61"/>
      <c r="D1803" s="61"/>
      <c r="E1803" s="61"/>
      <c r="F1803" s="61"/>
      <c r="G1803" s="61"/>
      <c r="H1803" s="61"/>
      <c r="I1803" s="61"/>
      <c r="J1803" s="61"/>
      <c r="K1803" s="61"/>
      <c r="L1803" s="61"/>
      <c r="M1803" s="61"/>
      <c r="N1803" s="61"/>
      <c r="O1803" s="61"/>
      <c r="P1803" s="61"/>
      <c r="Q1803" s="61"/>
      <c r="R1803" s="61"/>
      <c r="S1803" s="61"/>
      <c r="T1803" s="61"/>
      <c r="U1803" s="61"/>
      <c r="V1803" s="61"/>
      <c r="W1803" s="61"/>
      <c r="X1803" s="61"/>
      <c r="Y1803" s="61"/>
      <c r="Z1803" s="61"/>
      <c r="AA1803" s="61"/>
      <c r="AB1803" s="61"/>
      <c r="AC1803" s="61"/>
    </row>
    <row r="1804" ht="15.75" customHeight="1">
      <c r="A1804" s="61"/>
      <c r="B1804" s="61"/>
      <c r="C1804" s="61"/>
      <c r="D1804" s="61"/>
      <c r="E1804" s="61"/>
      <c r="F1804" s="61"/>
      <c r="G1804" s="61"/>
      <c r="H1804" s="61"/>
      <c r="I1804" s="61"/>
      <c r="J1804" s="61"/>
      <c r="K1804" s="61"/>
      <c r="L1804" s="61"/>
      <c r="M1804" s="61"/>
      <c r="N1804" s="61"/>
      <c r="O1804" s="61"/>
      <c r="P1804" s="61"/>
      <c r="Q1804" s="61"/>
      <c r="R1804" s="61"/>
      <c r="S1804" s="61"/>
      <c r="T1804" s="61"/>
      <c r="U1804" s="61"/>
      <c r="V1804" s="61"/>
      <c r="W1804" s="61"/>
      <c r="X1804" s="61"/>
      <c r="Y1804" s="61"/>
      <c r="Z1804" s="61"/>
      <c r="AA1804" s="61"/>
      <c r="AB1804" s="61"/>
      <c r="AC1804" s="61"/>
    </row>
    <row r="1805" ht="15.75" customHeight="1">
      <c r="A1805" s="61"/>
      <c r="B1805" s="61"/>
      <c r="C1805" s="61"/>
      <c r="D1805" s="61"/>
      <c r="E1805" s="61"/>
      <c r="F1805" s="61"/>
      <c r="G1805" s="61"/>
      <c r="H1805" s="61"/>
      <c r="I1805" s="61"/>
      <c r="J1805" s="61"/>
      <c r="K1805" s="61"/>
      <c r="L1805" s="61"/>
      <c r="M1805" s="61"/>
      <c r="N1805" s="61"/>
      <c r="O1805" s="61"/>
      <c r="P1805" s="61"/>
      <c r="Q1805" s="61"/>
      <c r="R1805" s="61"/>
      <c r="S1805" s="61"/>
      <c r="T1805" s="61"/>
      <c r="U1805" s="61"/>
      <c r="V1805" s="61"/>
      <c r="W1805" s="61"/>
      <c r="X1805" s="61"/>
      <c r="Y1805" s="61"/>
      <c r="Z1805" s="61"/>
      <c r="AA1805" s="61"/>
      <c r="AB1805" s="61"/>
      <c r="AC1805" s="61"/>
    </row>
    <row r="1806" ht="15.75" customHeight="1">
      <c r="A1806" s="61"/>
      <c r="B1806" s="61"/>
      <c r="C1806" s="61"/>
      <c r="D1806" s="61"/>
      <c r="E1806" s="61"/>
      <c r="F1806" s="61"/>
      <c r="G1806" s="61"/>
      <c r="H1806" s="61"/>
      <c r="I1806" s="61"/>
      <c r="J1806" s="61"/>
      <c r="K1806" s="61"/>
      <c r="L1806" s="61"/>
      <c r="M1806" s="61"/>
      <c r="N1806" s="61"/>
      <c r="O1806" s="61"/>
      <c r="P1806" s="61"/>
      <c r="Q1806" s="61"/>
      <c r="R1806" s="61"/>
      <c r="S1806" s="61"/>
      <c r="T1806" s="61"/>
      <c r="U1806" s="61"/>
      <c r="V1806" s="61"/>
      <c r="W1806" s="61"/>
      <c r="X1806" s="61"/>
      <c r="Y1806" s="61"/>
      <c r="Z1806" s="61"/>
      <c r="AA1806" s="61"/>
      <c r="AB1806" s="61"/>
      <c r="AC1806" s="61"/>
    </row>
    <row r="1807" ht="15.75" customHeight="1">
      <c r="A1807" s="61"/>
      <c r="B1807" s="61"/>
      <c r="C1807" s="61"/>
      <c r="D1807" s="61"/>
      <c r="E1807" s="61"/>
      <c r="F1807" s="61"/>
      <c r="G1807" s="61"/>
      <c r="H1807" s="61"/>
      <c r="I1807" s="61"/>
      <c r="J1807" s="61"/>
      <c r="K1807" s="61"/>
      <c r="L1807" s="61"/>
      <c r="M1807" s="61"/>
      <c r="N1807" s="61"/>
      <c r="O1807" s="61"/>
      <c r="P1807" s="61"/>
      <c r="Q1807" s="61"/>
      <c r="R1807" s="61"/>
      <c r="S1807" s="61"/>
      <c r="T1807" s="61"/>
      <c r="U1807" s="61"/>
      <c r="V1807" s="61"/>
      <c r="W1807" s="61"/>
      <c r="X1807" s="61"/>
      <c r="Y1807" s="61"/>
      <c r="Z1807" s="61"/>
      <c r="AA1807" s="61"/>
      <c r="AB1807" s="61"/>
      <c r="AC1807" s="61"/>
    </row>
    <row r="1808" ht="15.75" customHeight="1">
      <c r="A1808" s="61"/>
      <c r="B1808" s="61"/>
      <c r="C1808" s="61"/>
      <c r="D1808" s="61"/>
      <c r="E1808" s="61"/>
      <c r="F1808" s="61"/>
      <c r="G1808" s="61"/>
      <c r="H1808" s="61"/>
      <c r="I1808" s="61"/>
      <c r="J1808" s="61"/>
      <c r="K1808" s="61"/>
      <c r="L1808" s="61"/>
      <c r="M1808" s="61"/>
      <c r="N1808" s="61"/>
      <c r="O1808" s="61"/>
      <c r="P1808" s="61"/>
      <c r="Q1808" s="61"/>
      <c r="R1808" s="61"/>
      <c r="S1808" s="61"/>
      <c r="T1808" s="61"/>
      <c r="U1808" s="61"/>
      <c r="V1808" s="61"/>
      <c r="W1808" s="61"/>
      <c r="X1808" s="61"/>
      <c r="Y1808" s="61"/>
      <c r="Z1808" s="61"/>
      <c r="AA1808" s="61"/>
      <c r="AB1808" s="61"/>
      <c r="AC1808" s="61"/>
    </row>
    <row r="1809" ht="15.75" customHeight="1">
      <c r="A1809" s="61"/>
      <c r="B1809" s="61"/>
      <c r="C1809" s="61"/>
      <c r="D1809" s="61"/>
      <c r="E1809" s="61"/>
      <c r="F1809" s="61"/>
      <c r="G1809" s="61"/>
      <c r="H1809" s="61"/>
      <c r="I1809" s="61"/>
      <c r="J1809" s="61"/>
      <c r="K1809" s="61"/>
      <c r="L1809" s="61"/>
      <c r="M1809" s="61"/>
      <c r="N1809" s="61"/>
      <c r="O1809" s="61"/>
      <c r="P1809" s="61"/>
      <c r="Q1809" s="61"/>
      <c r="R1809" s="61"/>
      <c r="S1809" s="61"/>
      <c r="T1809" s="61"/>
      <c r="U1809" s="61"/>
      <c r="V1809" s="61"/>
      <c r="W1809" s="61"/>
      <c r="X1809" s="61"/>
      <c r="Y1809" s="61"/>
      <c r="Z1809" s="61"/>
      <c r="AA1809" s="61"/>
      <c r="AB1809" s="61"/>
      <c r="AC1809" s="61"/>
    </row>
    <row r="1810" ht="15.75" customHeight="1">
      <c r="A1810" s="61"/>
      <c r="B1810" s="61"/>
      <c r="C1810" s="61"/>
      <c r="D1810" s="61"/>
      <c r="E1810" s="61"/>
      <c r="F1810" s="61"/>
      <c r="G1810" s="61"/>
      <c r="H1810" s="61"/>
      <c r="I1810" s="61"/>
      <c r="J1810" s="61"/>
      <c r="K1810" s="61"/>
      <c r="L1810" s="61"/>
      <c r="M1810" s="61"/>
      <c r="N1810" s="61"/>
      <c r="O1810" s="61"/>
      <c r="P1810" s="61"/>
      <c r="Q1810" s="61"/>
      <c r="R1810" s="61"/>
      <c r="S1810" s="61"/>
      <c r="T1810" s="61"/>
      <c r="U1810" s="61"/>
      <c r="V1810" s="61"/>
      <c r="W1810" s="61"/>
      <c r="X1810" s="61"/>
      <c r="Y1810" s="61"/>
      <c r="Z1810" s="61"/>
      <c r="AA1810" s="61"/>
      <c r="AB1810" s="61"/>
      <c r="AC1810" s="61"/>
    </row>
    <row r="1811" ht="15.75" customHeight="1">
      <c r="A1811" s="61"/>
      <c r="B1811" s="61"/>
      <c r="C1811" s="61"/>
      <c r="D1811" s="61"/>
      <c r="E1811" s="61"/>
      <c r="F1811" s="61"/>
      <c r="G1811" s="61"/>
      <c r="H1811" s="61"/>
      <c r="I1811" s="61"/>
      <c r="J1811" s="61"/>
      <c r="K1811" s="61"/>
      <c r="L1811" s="61"/>
      <c r="M1811" s="61"/>
      <c r="N1811" s="61"/>
      <c r="O1811" s="61"/>
      <c r="P1811" s="61"/>
      <c r="Q1811" s="61"/>
      <c r="R1811" s="61"/>
      <c r="S1811" s="61"/>
      <c r="T1811" s="61"/>
      <c r="U1811" s="61"/>
      <c r="V1811" s="61"/>
      <c r="W1811" s="61"/>
      <c r="X1811" s="61"/>
      <c r="Y1811" s="61"/>
      <c r="Z1811" s="61"/>
      <c r="AA1811" s="61"/>
      <c r="AB1811" s="61"/>
      <c r="AC1811" s="61"/>
    </row>
    <row r="1812" ht="15.75" customHeight="1">
      <c r="A1812" s="61"/>
      <c r="B1812" s="61"/>
      <c r="C1812" s="61"/>
      <c r="D1812" s="61"/>
      <c r="E1812" s="61"/>
      <c r="F1812" s="61"/>
      <c r="G1812" s="61"/>
      <c r="H1812" s="61"/>
      <c r="I1812" s="61"/>
      <c r="J1812" s="61"/>
      <c r="K1812" s="61"/>
      <c r="L1812" s="61"/>
      <c r="M1812" s="61"/>
      <c r="N1812" s="61"/>
      <c r="O1812" s="61"/>
      <c r="P1812" s="61"/>
      <c r="Q1812" s="61"/>
      <c r="R1812" s="61"/>
      <c r="S1812" s="61"/>
      <c r="T1812" s="61"/>
      <c r="U1812" s="61"/>
      <c r="V1812" s="61"/>
      <c r="W1812" s="61"/>
      <c r="X1812" s="61"/>
      <c r="Y1812" s="61"/>
      <c r="Z1812" s="61"/>
      <c r="AA1812" s="61"/>
      <c r="AB1812" s="61"/>
      <c r="AC1812" s="61"/>
    </row>
    <row r="1813" ht="15.75" customHeight="1">
      <c r="A1813" s="61"/>
      <c r="B1813" s="61"/>
      <c r="C1813" s="61"/>
      <c r="D1813" s="61"/>
      <c r="E1813" s="61"/>
      <c r="F1813" s="61"/>
      <c r="G1813" s="61"/>
      <c r="H1813" s="61"/>
      <c r="I1813" s="61"/>
      <c r="J1813" s="61"/>
      <c r="K1813" s="61"/>
      <c r="L1813" s="61"/>
      <c r="M1813" s="61"/>
      <c r="N1813" s="61"/>
      <c r="O1813" s="61"/>
      <c r="P1813" s="61"/>
      <c r="Q1813" s="61"/>
      <c r="R1813" s="61"/>
      <c r="S1813" s="61"/>
      <c r="T1813" s="61"/>
      <c r="U1813" s="61"/>
      <c r="V1813" s="61"/>
      <c r="W1813" s="61"/>
      <c r="X1813" s="61"/>
      <c r="Y1813" s="61"/>
      <c r="Z1813" s="61"/>
      <c r="AA1813" s="61"/>
      <c r="AB1813" s="61"/>
      <c r="AC1813" s="61"/>
    </row>
    <row r="1814" ht="15.75" customHeight="1">
      <c r="A1814" s="61"/>
      <c r="B1814" s="61"/>
      <c r="C1814" s="61"/>
      <c r="D1814" s="61"/>
      <c r="E1814" s="61"/>
      <c r="F1814" s="61"/>
      <c r="G1814" s="61"/>
      <c r="H1814" s="61"/>
      <c r="I1814" s="61"/>
      <c r="J1814" s="61"/>
      <c r="K1814" s="61"/>
      <c r="L1814" s="61"/>
      <c r="M1814" s="61"/>
      <c r="N1814" s="61"/>
      <c r="O1814" s="61"/>
      <c r="P1814" s="61"/>
      <c r="Q1814" s="61"/>
      <c r="R1814" s="61"/>
      <c r="S1814" s="61"/>
      <c r="T1814" s="61"/>
      <c r="U1814" s="61"/>
      <c r="V1814" s="61"/>
      <c r="W1814" s="61"/>
      <c r="X1814" s="61"/>
      <c r="Y1814" s="61"/>
      <c r="Z1814" s="61"/>
      <c r="AA1814" s="61"/>
      <c r="AB1814" s="61"/>
      <c r="AC1814" s="61"/>
    </row>
    <row r="1815" ht="15.75" customHeight="1">
      <c r="A1815" s="61"/>
      <c r="B1815" s="61"/>
      <c r="C1815" s="61"/>
      <c r="D1815" s="61"/>
      <c r="E1815" s="61"/>
      <c r="F1815" s="61"/>
      <c r="G1815" s="61"/>
      <c r="H1815" s="61"/>
      <c r="I1815" s="61"/>
      <c r="J1815" s="61"/>
      <c r="K1815" s="61"/>
      <c r="L1815" s="61"/>
      <c r="M1815" s="61"/>
      <c r="N1815" s="61"/>
      <c r="O1815" s="61"/>
      <c r="P1815" s="61"/>
      <c r="Q1815" s="61"/>
      <c r="R1815" s="61"/>
      <c r="S1815" s="61"/>
      <c r="T1815" s="61"/>
      <c r="U1815" s="61"/>
      <c r="V1815" s="61"/>
      <c r="W1815" s="61"/>
      <c r="X1815" s="61"/>
      <c r="Y1815" s="61"/>
      <c r="Z1815" s="61"/>
      <c r="AA1815" s="61"/>
      <c r="AB1815" s="61"/>
      <c r="AC1815" s="61"/>
    </row>
    <row r="1816" ht="15.75" customHeight="1">
      <c r="A1816" s="61"/>
      <c r="B1816" s="61"/>
      <c r="C1816" s="61"/>
      <c r="D1816" s="61"/>
      <c r="E1816" s="61"/>
      <c r="F1816" s="61"/>
      <c r="G1816" s="61"/>
      <c r="H1816" s="61"/>
      <c r="I1816" s="61"/>
      <c r="J1816" s="61"/>
      <c r="K1816" s="61"/>
      <c r="L1816" s="61"/>
      <c r="M1816" s="61"/>
      <c r="N1816" s="61"/>
      <c r="O1816" s="61"/>
      <c r="P1816" s="61"/>
      <c r="Q1816" s="61"/>
      <c r="R1816" s="61"/>
      <c r="S1816" s="61"/>
      <c r="T1816" s="61"/>
      <c r="U1816" s="61"/>
      <c r="V1816" s="61"/>
      <c r="W1816" s="61"/>
      <c r="X1816" s="61"/>
      <c r="Y1816" s="61"/>
      <c r="Z1816" s="61"/>
      <c r="AA1816" s="61"/>
      <c r="AB1816" s="61"/>
      <c r="AC1816" s="61"/>
    </row>
    <row r="1817" ht="15.75" customHeight="1">
      <c r="A1817" s="61"/>
      <c r="B1817" s="61"/>
      <c r="C1817" s="61"/>
      <c r="D1817" s="61"/>
      <c r="E1817" s="61"/>
      <c r="F1817" s="61"/>
      <c r="G1817" s="61"/>
      <c r="H1817" s="61"/>
      <c r="I1817" s="61"/>
      <c r="J1817" s="61"/>
      <c r="K1817" s="61"/>
      <c r="L1817" s="61"/>
      <c r="M1817" s="61"/>
      <c r="N1817" s="61"/>
      <c r="O1817" s="61"/>
      <c r="P1817" s="61"/>
      <c r="Q1817" s="61"/>
      <c r="R1817" s="61"/>
      <c r="S1817" s="61"/>
      <c r="T1817" s="61"/>
      <c r="U1817" s="61"/>
      <c r="V1817" s="61"/>
      <c r="W1817" s="61"/>
      <c r="X1817" s="61"/>
      <c r="Y1817" s="61"/>
      <c r="Z1817" s="61"/>
      <c r="AA1817" s="61"/>
      <c r="AB1817" s="61"/>
      <c r="AC1817" s="61"/>
    </row>
    <row r="1818" ht="15.75" customHeight="1">
      <c r="A1818" s="61"/>
      <c r="B1818" s="61"/>
      <c r="C1818" s="61"/>
      <c r="D1818" s="61"/>
      <c r="E1818" s="61"/>
      <c r="F1818" s="61"/>
      <c r="G1818" s="61"/>
      <c r="H1818" s="61"/>
      <c r="I1818" s="61"/>
      <c r="J1818" s="61"/>
      <c r="K1818" s="61"/>
      <c r="L1818" s="61"/>
      <c r="M1818" s="61"/>
      <c r="N1818" s="61"/>
      <c r="O1818" s="61"/>
      <c r="P1818" s="61"/>
      <c r="Q1818" s="61"/>
      <c r="R1818" s="61"/>
      <c r="S1818" s="61"/>
      <c r="T1818" s="61"/>
      <c r="U1818" s="61"/>
      <c r="V1818" s="61"/>
      <c r="W1818" s="61"/>
      <c r="X1818" s="61"/>
      <c r="Y1818" s="61"/>
      <c r="Z1818" s="61"/>
      <c r="AA1818" s="61"/>
      <c r="AB1818" s="61"/>
      <c r="AC1818" s="61"/>
    </row>
    <row r="1819" ht="15.75" customHeight="1">
      <c r="A1819" s="61"/>
      <c r="B1819" s="61"/>
      <c r="C1819" s="61"/>
      <c r="D1819" s="61"/>
      <c r="E1819" s="61"/>
      <c r="F1819" s="61"/>
      <c r="G1819" s="61"/>
      <c r="H1819" s="61"/>
      <c r="I1819" s="61"/>
      <c r="J1819" s="61"/>
      <c r="K1819" s="61"/>
      <c r="L1819" s="61"/>
      <c r="M1819" s="61"/>
      <c r="N1819" s="61"/>
      <c r="O1819" s="61"/>
      <c r="P1819" s="61"/>
      <c r="Q1819" s="61"/>
      <c r="R1819" s="61"/>
      <c r="S1819" s="61"/>
      <c r="T1819" s="61"/>
      <c r="U1819" s="61"/>
      <c r="V1819" s="61"/>
      <c r="W1819" s="61"/>
      <c r="X1819" s="61"/>
      <c r="Y1819" s="61"/>
      <c r="Z1819" s="61"/>
      <c r="AA1819" s="61"/>
      <c r="AB1819" s="61"/>
      <c r="AC1819" s="61"/>
    </row>
    <row r="1820" ht="15.75" customHeight="1">
      <c r="A1820" s="61"/>
      <c r="B1820" s="61"/>
      <c r="C1820" s="61"/>
      <c r="D1820" s="61"/>
      <c r="E1820" s="61"/>
      <c r="F1820" s="61"/>
      <c r="G1820" s="61"/>
      <c r="H1820" s="61"/>
      <c r="I1820" s="61"/>
      <c r="J1820" s="61"/>
      <c r="K1820" s="61"/>
      <c r="L1820" s="61"/>
      <c r="M1820" s="61"/>
      <c r="N1820" s="61"/>
      <c r="O1820" s="61"/>
      <c r="P1820" s="61"/>
      <c r="Q1820" s="61"/>
      <c r="R1820" s="61"/>
      <c r="S1820" s="61"/>
      <c r="T1820" s="61"/>
      <c r="U1820" s="61"/>
      <c r="V1820" s="61"/>
      <c r="W1820" s="61"/>
      <c r="X1820" s="61"/>
      <c r="Y1820" s="61"/>
      <c r="Z1820" s="61"/>
      <c r="AA1820" s="61"/>
      <c r="AB1820" s="61"/>
      <c r="AC1820" s="61"/>
    </row>
    <row r="1821" ht="15.75" customHeight="1">
      <c r="A1821" s="61"/>
      <c r="B1821" s="61"/>
      <c r="C1821" s="61"/>
      <c r="D1821" s="61"/>
      <c r="E1821" s="61"/>
      <c r="F1821" s="61"/>
      <c r="G1821" s="61"/>
      <c r="H1821" s="61"/>
      <c r="I1821" s="61"/>
      <c r="J1821" s="61"/>
      <c r="K1821" s="61"/>
      <c r="L1821" s="61"/>
      <c r="M1821" s="61"/>
      <c r="N1821" s="61"/>
      <c r="O1821" s="61"/>
      <c r="P1821" s="61"/>
      <c r="Q1821" s="61"/>
      <c r="R1821" s="61"/>
      <c r="S1821" s="61"/>
      <c r="T1821" s="61"/>
      <c r="U1821" s="61"/>
      <c r="V1821" s="61"/>
      <c r="W1821" s="61"/>
      <c r="X1821" s="61"/>
      <c r="Y1821" s="61"/>
      <c r="Z1821" s="61"/>
      <c r="AA1821" s="61"/>
      <c r="AB1821" s="61"/>
      <c r="AC1821" s="61"/>
    </row>
    <row r="1822" ht="15.75" customHeight="1">
      <c r="A1822" s="61"/>
      <c r="B1822" s="61"/>
      <c r="C1822" s="61"/>
      <c r="D1822" s="61"/>
      <c r="E1822" s="61"/>
      <c r="F1822" s="61"/>
      <c r="G1822" s="61"/>
      <c r="H1822" s="61"/>
      <c r="I1822" s="61"/>
      <c r="J1822" s="61"/>
      <c r="K1822" s="61"/>
      <c r="L1822" s="61"/>
      <c r="M1822" s="61"/>
      <c r="N1822" s="61"/>
      <c r="O1822" s="61"/>
      <c r="P1822" s="61"/>
      <c r="Q1822" s="61"/>
      <c r="R1822" s="61"/>
      <c r="S1822" s="61"/>
      <c r="T1822" s="61"/>
      <c r="U1822" s="61"/>
      <c r="V1822" s="61"/>
      <c r="W1822" s="61"/>
      <c r="X1822" s="61"/>
      <c r="Y1822" s="61"/>
      <c r="Z1822" s="61"/>
      <c r="AA1822" s="61"/>
      <c r="AB1822" s="61"/>
      <c r="AC1822" s="61"/>
    </row>
    <row r="1823" ht="15.75" customHeight="1">
      <c r="A1823" s="61"/>
      <c r="B1823" s="61"/>
      <c r="C1823" s="61"/>
      <c r="D1823" s="61"/>
      <c r="E1823" s="61"/>
      <c r="F1823" s="61"/>
      <c r="G1823" s="61"/>
      <c r="H1823" s="61"/>
      <c r="I1823" s="61"/>
      <c r="J1823" s="61"/>
      <c r="K1823" s="61"/>
      <c r="L1823" s="61"/>
      <c r="M1823" s="61"/>
      <c r="N1823" s="61"/>
      <c r="O1823" s="61"/>
      <c r="P1823" s="61"/>
      <c r="Q1823" s="61"/>
      <c r="R1823" s="61"/>
      <c r="S1823" s="61"/>
      <c r="T1823" s="61"/>
      <c r="U1823" s="61"/>
      <c r="V1823" s="61"/>
      <c r="W1823" s="61"/>
      <c r="X1823" s="61"/>
      <c r="Y1823" s="61"/>
      <c r="Z1823" s="61"/>
      <c r="AA1823" s="61"/>
      <c r="AB1823" s="61"/>
      <c r="AC1823" s="61"/>
    </row>
    <row r="1824" ht="15.75" customHeight="1">
      <c r="A1824" s="61"/>
      <c r="B1824" s="61"/>
      <c r="C1824" s="61"/>
      <c r="D1824" s="61"/>
      <c r="E1824" s="61"/>
      <c r="F1824" s="61"/>
      <c r="G1824" s="61"/>
      <c r="H1824" s="61"/>
      <c r="I1824" s="61"/>
      <c r="J1824" s="61"/>
      <c r="K1824" s="61"/>
      <c r="L1824" s="61"/>
      <c r="M1824" s="61"/>
      <c r="N1824" s="61"/>
      <c r="O1824" s="61"/>
      <c r="P1824" s="61"/>
      <c r="Q1824" s="61"/>
      <c r="R1824" s="61"/>
      <c r="S1824" s="61"/>
      <c r="T1824" s="61"/>
      <c r="U1824" s="61"/>
      <c r="V1824" s="61"/>
      <c r="W1824" s="61"/>
      <c r="X1824" s="61"/>
      <c r="Y1824" s="61"/>
      <c r="Z1824" s="61"/>
      <c r="AA1824" s="61"/>
      <c r="AB1824" s="61"/>
      <c r="AC1824" s="61"/>
    </row>
    <row r="1825" ht="15.75" customHeight="1">
      <c r="A1825" s="61"/>
      <c r="B1825" s="61"/>
      <c r="C1825" s="61"/>
      <c r="D1825" s="61"/>
      <c r="E1825" s="61"/>
      <c r="F1825" s="61"/>
      <c r="G1825" s="61"/>
      <c r="H1825" s="61"/>
      <c r="I1825" s="61"/>
      <c r="J1825" s="61"/>
      <c r="K1825" s="61"/>
      <c r="L1825" s="61"/>
      <c r="M1825" s="61"/>
      <c r="N1825" s="61"/>
      <c r="O1825" s="61"/>
      <c r="P1825" s="61"/>
      <c r="Q1825" s="61"/>
      <c r="R1825" s="61"/>
      <c r="S1825" s="61"/>
      <c r="T1825" s="61"/>
      <c r="U1825" s="61"/>
      <c r="V1825" s="61"/>
      <c r="W1825" s="61"/>
      <c r="X1825" s="61"/>
      <c r="Y1825" s="61"/>
      <c r="Z1825" s="61"/>
      <c r="AA1825" s="61"/>
      <c r="AB1825" s="61"/>
      <c r="AC1825" s="61"/>
    </row>
    <row r="1826" ht="15.75" customHeight="1">
      <c r="A1826" s="61"/>
      <c r="B1826" s="61"/>
      <c r="C1826" s="61"/>
      <c r="D1826" s="61"/>
      <c r="E1826" s="61"/>
      <c r="F1826" s="61"/>
      <c r="G1826" s="61"/>
      <c r="H1826" s="61"/>
      <c r="I1826" s="61"/>
      <c r="J1826" s="61"/>
      <c r="K1826" s="61"/>
      <c r="L1826" s="61"/>
      <c r="M1826" s="61"/>
      <c r="N1826" s="61"/>
      <c r="O1826" s="61"/>
      <c r="P1826" s="61"/>
      <c r="Q1826" s="61"/>
      <c r="R1826" s="61"/>
      <c r="S1826" s="61"/>
      <c r="T1826" s="61"/>
      <c r="U1826" s="61"/>
      <c r="V1826" s="61"/>
      <c r="W1826" s="61"/>
      <c r="X1826" s="61"/>
      <c r="Y1826" s="61"/>
      <c r="Z1826" s="61"/>
      <c r="AA1826" s="61"/>
      <c r="AB1826" s="61"/>
      <c r="AC1826" s="61"/>
    </row>
    <row r="1827" ht="15.75" customHeight="1">
      <c r="A1827" s="61"/>
      <c r="B1827" s="61"/>
      <c r="C1827" s="61"/>
      <c r="D1827" s="61"/>
      <c r="E1827" s="61"/>
      <c r="F1827" s="61"/>
      <c r="G1827" s="61"/>
      <c r="H1827" s="61"/>
      <c r="I1827" s="61"/>
      <c r="J1827" s="61"/>
      <c r="K1827" s="61"/>
      <c r="L1827" s="61"/>
      <c r="M1827" s="61"/>
      <c r="N1827" s="61"/>
      <c r="O1827" s="61"/>
      <c r="P1827" s="61"/>
      <c r="Q1827" s="61"/>
      <c r="R1827" s="61"/>
      <c r="S1827" s="61"/>
      <c r="T1827" s="61"/>
      <c r="U1827" s="61"/>
      <c r="V1827" s="61"/>
      <c r="W1827" s="61"/>
      <c r="X1827" s="61"/>
      <c r="Y1827" s="61"/>
      <c r="Z1827" s="61"/>
      <c r="AA1827" s="61"/>
      <c r="AB1827" s="61"/>
      <c r="AC1827" s="61"/>
    </row>
    <row r="1828" ht="15.75" customHeight="1">
      <c r="A1828" s="61"/>
      <c r="B1828" s="61"/>
      <c r="C1828" s="61"/>
      <c r="D1828" s="61"/>
      <c r="E1828" s="61"/>
      <c r="F1828" s="61"/>
      <c r="G1828" s="61"/>
      <c r="H1828" s="61"/>
      <c r="I1828" s="61"/>
      <c r="J1828" s="61"/>
      <c r="K1828" s="61"/>
      <c r="L1828" s="61"/>
      <c r="M1828" s="61"/>
      <c r="N1828" s="61"/>
      <c r="O1828" s="61"/>
      <c r="P1828" s="61"/>
      <c r="Q1828" s="61"/>
      <c r="R1828" s="61"/>
      <c r="S1828" s="61"/>
      <c r="T1828" s="61"/>
      <c r="U1828" s="61"/>
      <c r="V1828" s="61"/>
      <c r="W1828" s="61"/>
      <c r="X1828" s="61"/>
      <c r="Y1828" s="61"/>
      <c r="Z1828" s="61"/>
      <c r="AA1828" s="61"/>
      <c r="AB1828" s="61"/>
      <c r="AC1828" s="61"/>
    </row>
    <row r="1829" ht="15.75" customHeight="1">
      <c r="A1829" s="61"/>
      <c r="B1829" s="61"/>
      <c r="C1829" s="61"/>
      <c r="D1829" s="61"/>
      <c r="E1829" s="61"/>
      <c r="F1829" s="61"/>
      <c r="G1829" s="61"/>
      <c r="H1829" s="61"/>
      <c r="I1829" s="61"/>
      <c r="J1829" s="61"/>
      <c r="K1829" s="61"/>
      <c r="L1829" s="61"/>
      <c r="M1829" s="61"/>
      <c r="N1829" s="61"/>
      <c r="O1829" s="61"/>
      <c r="P1829" s="61"/>
      <c r="Q1829" s="61"/>
      <c r="R1829" s="61"/>
      <c r="S1829" s="61"/>
      <c r="T1829" s="61"/>
      <c r="U1829" s="61"/>
      <c r="V1829" s="61"/>
      <c r="W1829" s="61"/>
      <c r="X1829" s="61"/>
      <c r="Y1829" s="61"/>
      <c r="Z1829" s="61"/>
      <c r="AA1829" s="61"/>
      <c r="AB1829" s="61"/>
      <c r="AC1829" s="61"/>
    </row>
    <row r="1830" ht="15.75" customHeight="1">
      <c r="A1830" s="61"/>
      <c r="B1830" s="61"/>
      <c r="C1830" s="61"/>
      <c r="D1830" s="61"/>
      <c r="E1830" s="61"/>
      <c r="F1830" s="61"/>
      <c r="G1830" s="61"/>
      <c r="H1830" s="61"/>
      <c r="I1830" s="61"/>
      <c r="J1830" s="61"/>
      <c r="K1830" s="61"/>
      <c r="L1830" s="61"/>
      <c r="M1830" s="61"/>
      <c r="N1830" s="61"/>
      <c r="O1830" s="61"/>
      <c r="P1830" s="61"/>
      <c r="Q1830" s="61"/>
      <c r="R1830" s="61"/>
      <c r="S1830" s="61"/>
      <c r="T1830" s="61"/>
      <c r="U1830" s="61"/>
      <c r="V1830" s="61"/>
      <c r="W1830" s="61"/>
      <c r="X1830" s="61"/>
      <c r="Y1830" s="61"/>
      <c r="Z1830" s="61"/>
      <c r="AA1830" s="61"/>
      <c r="AB1830" s="61"/>
      <c r="AC1830" s="61"/>
    </row>
    <row r="1831" ht="15.75" customHeight="1">
      <c r="A1831" s="61"/>
      <c r="B1831" s="61"/>
      <c r="C1831" s="61"/>
      <c r="D1831" s="61"/>
      <c r="E1831" s="61"/>
      <c r="F1831" s="61"/>
      <c r="G1831" s="61"/>
      <c r="H1831" s="61"/>
      <c r="I1831" s="61"/>
      <c r="J1831" s="61"/>
      <c r="K1831" s="61"/>
      <c r="L1831" s="61"/>
      <c r="M1831" s="61"/>
      <c r="N1831" s="61"/>
      <c r="O1831" s="61"/>
      <c r="P1831" s="61"/>
      <c r="Q1831" s="61"/>
      <c r="R1831" s="61"/>
      <c r="S1831" s="61"/>
      <c r="T1831" s="61"/>
      <c r="U1831" s="61"/>
      <c r="V1831" s="61"/>
      <c r="W1831" s="61"/>
      <c r="X1831" s="61"/>
      <c r="Y1831" s="61"/>
      <c r="Z1831" s="61"/>
      <c r="AA1831" s="61"/>
      <c r="AB1831" s="61"/>
      <c r="AC1831" s="61"/>
    </row>
    <row r="1832" ht="15.75" customHeight="1">
      <c r="A1832" s="61"/>
      <c r="B1832" s="61"/>
      <c r="C1832" s="61"/>
      <c r="D1832" s="61"/>
      <c r="E1832" s="61"/>
      <c r="F1832" s="61"/>
      <c r="G1832" s="61"/>
      <c r="H1832" s="61"/>
      <c r="I1832" s="61"/>
      <c r="J1832" s="61"/>
      <c r="K1832" s="61"/>
      <c r="L1832" s="61"/>
      <c r="M1832" s="61"/>
      <c r="N1832" s="61"/>
      <c r="O1832" s="61"/>
      <c r="P1832" s="61"/>
      <c r="Q1832" s="61"/>
      <c r="R1832" s="61"/>
      <c r="S1832" s="61"/>
      <c r="T1832" s="61"/>
      <c r="U1832" s="61"/>
      <c r="V1832" s="61"/>
      <c r="W1832" s="61"/>
      <c r="X1832" s="61"/>
      <c r="Y1832" s="61"/>
      <c r="Z1832" s="61"/>
      <c r="AA1832" s="61"/>
      <c r="AB1832" s="61"/>
      <c r="AC1832" s="61"/>
    </row>
    <row r="1833" ht="15.75" customHeight="1">
      <c r="A1833" s="61"/>
      <c r="B1833" s="61"/>
      <c r="C1833" s="61"/>
      <c r="D1833" s="61"/>
      <c r="E1833" s="61"/>
      <c r="F1833" s="61"/>
      <c r="G1833" s="61"/>
      <c r="H1833" s="61"/>
      <c r="I1833" s="61"/>
      <c r="J1833" s="61"/>
      <c r="K1833" s="61"/>
      <c r="L1833" s="61"/>
      <c r="M1833" s="61"/>
      <c r="N1833" s="61"/>
      <c r="O1833" s="61"/>
      <c r="P1833" s="61"/>
      <c r="Q1833" s="61"/>
      <c r="R1833" s="61"/>
      <c r="S1833" s="61"/>
      <c r="T1833" s="61"/>
      <c r="U1833" s="61"/>
      <c r="V1833" s="61"/>
      <c r="W1833" s="61"/>
      <c r="X1833" s="61"/>
      <c r="Y1833" s="61"/>
      <c r="Z1833" s="61"/>
      <c r="AA1833" s="61"/>
      <c r="AB1833" s="61"/>
      <c r="AC1833" s="61"/>
    </row>
    <row r="1834" ht="15.75" customHeight="1">
      <c r="A1834" s="61"/>
      <c r="B1834" s="61"/>
      <c r="C1834" s="61"/>
      <c r="D1834" s="61"/>
      <c r="E1834" s="61"/>
      <c r="F1834" s="61"/>
      <c r="G1834" s="61"/>
      <c r="H1834" s="61"/>
      <c r="I1834" s="61"/>
      <c r="J1834" s="61"/>
      <c r="K1834" s="61"/>
      <c r="L1834" s="61"/>
      <c r="M1834" s="61"/>
      <c r="N1834" s="61"/>
      <c r="O1834" s="61"/>
      <c r="P1834" s="61"/>
      <c r="Q1834" s="61"/>
      <c r="R1834" s="61"/>
      <c r="S1834" s="61"/>
      <c r="T1834" s="61"/>
      <c r="U1834" s="61"/>
      <c r="V1834" s="61"/>
      <c r="W1834" s="61"/>
      <c r="X1834" s="61"/>
      <c r="Y1834" s="61"/>
      <c r="Z1834" s="61"/>
      <c r="AA1834" s="61"/>
      <c r="AB1834" s="61"/>
      <c r="AC1834" s="61"/>
    </row>
    <row r="1835" ht="15.75" customHeight="1">
      <c r="A1835" s="61"/>
      <c r="B1835" s="61"/>
      <c r="C1835" s="61"/>
      <c r="D1835" s="61"/>
      <c r="E1835" s="61"/>
      <c r="F1835" s="61"/>
      <c r="G1835" s="61"/>
      <c r="H1835" s="61"/>
      <c r="I1835" s="61"/>
      <c r="J1835" s="61"/>
      <c r="K1835" s="61"/>
      <c r="L1835" s="61"/>
      <c r="M1835" s="61"/>
      <c r="N1835" s="61"/>
      <c r="O1835" s="61"/>
      <c r="P1835" s="61"/>
      <c r="Q1835" s="61"/>
      <c r="R1835" s="61"/>
      <c r="S1835" s="61"/>
      <c r="T1835" s="61"/>
      <c r="U1835" s="61"/>
      <c r="V1835" s="61"/>
      <c r="W1835" s="61"/>
      <c r="X1835" s="61"/>
      <c r="Y1835" s="61"/>
      <c r="Z1835" s="61"/>
      <c r="AA1835" s="61"/>
      <c r="AB1835" s="61"/>
      <c r="AC1835" s="61"/>
    </row>
    <row r="1836" ht="15.75" customHeight="1">
      <c r="A1836" s="61"/>
      <c r="B1836" s="61"/>
      <c r="C1836" s="61"/>
      <c r="D1836" s="61"/>
      <c r="E1836" s="61"/>
      <c r="F1836" s="61"/>
      <c r="G1836" s="61"/>
      <c r="H1836" s="61"/>
      <c r="I1836" s="61"/>
      <c r="J1836" s="61"/>
      <c r="K1836" s="61"/>
      <c r="L1836" s="61"/>
      <c r="M1836" s="61"/>
      <c r="N1836" s="61"/>
      <c r="O1836" s="61"/>
      <c r="P1836" s="61"/>
      <c r="Q1836" s="61"/>
      <c r="R1836" s="61"/>
      <c r="S1836" s="61"/>
      <c r="T1836" s="61"/>
      <c r="U1836" s="61"/>
      <c r="V1836" s="61"/>
      <c r="W1836" s="61"/>
      <c r="X1836" s="61"/>
      <c r="Y1836" s="61"/>
      <c r="Z1836" s="61"/>
      <c r="AA1836" s="61"/>
      <c r="AB1836" s="61"/>
      <c r="AC1836" s="61"/>
    </row>
    <row r="1837" ht="15.75" customHeight="1">
      <c r="A1837" s="61"/>
      <c r="B1837" s="61"/>
      <c r="C1837" s="61"/>
      <c r="D1837" s="61"/>
      <c r="E1837" s="61"/>
      <c r="F1837" s="61"/>
      <c r="G1837" s="61"/>
      <c r="H1837" s="61"/>
      <c r="I1837" s="61"/>
      <c r="J1837" s="61"/>
      <c r="K1837" s="61"/>
      <c r="L1837" s="61"/>
      <c r="M1837" s="61"/>
      <c r="N1837" s="61"/>
      <c r="O1837" s="61"/>
      <c r="P1837" s="61"/>
      <c r="Q1837" s="61"/>
      <c r="R1837" s="61"/>
      <c r="S1837" s="61"/>
      <c r="T1837" s="61"/>
      <c r="U1837" s="61"/>
      <c r="V1837" s="61"/>
      <c r="W1837" s="61"/>
      <c r="X1837" s="61"/>
      <c r="Y1837" s="61"/>
      <c r="Z1837" s="61"/>
      <c r="AA1837" s="61"/>
      <c r="AB1837" s="61"/>
      <c r="AC1837" s="61"/>
    </row>
    <row r="1838" ht="15.75" customHeight="1">
      <c r="A1838" s="61"/>
      <c r="B1838" s="61"/>
      <c r="C1838" s="61"/>
      <c r="D1838" s="61"/>
      <c r="E1838" s="61"/>
      <c r="F1838" s="61"/>
      <c r="G1838" s="61"/>
      <c r="H1838" s="61"/>
      <c r="I1838" s="61"/>
      <c r="J1838" s="61"/>
      <c r="K1838" s="61"/>
      <c r="L1838" s="61"/>
      <c r="M1838" s="61"/>
      <c r="N1838" s="61"/>
      <c r="O1838" s="61"/>
      <c r="P1838" s="61"/>
      <c r="Q1838" s="61"/>
      <c r="R1838" s="61"/>
      <c r="S1838" s="61"/>
      <c r="T1838" s="61"/>
      <c r="U1838" s="61"/>
      <c r="V1838" s="61"/>
      <c r="W1838" s="61"/>
      <c r="X1838" s="61"/>
      <c r="Y1838" s="61"/>
      <c r="Z1838" s="61"/>
      <c r="AA1838" s="61"/>
      <c r="AB1838" s="61"/>
      <c r="AC1838" s="61"/>
    </row>
    <row r="1839" ht="15.75" customHeight="1">
      <c r="A1839" s="61"/>
      <c r="B1839" s="61"/>
      <c r="C1839" s="61"/>
      <c r="D1839" s="61"/>
      <c r="E1839" s="61"/>
      <c r="F1839" s="61"/>
      <c r="G1839" s="61"/>
      <c r="H1839" s="61"/>
      <c r="I1839" s="61"/>
      <c r="J1839" s="61"/>
      <c r="K1839" s="61"/>
      <c r="L1839" s="61"/>
      <c r="M1839" s="61"/>
      <c r="N1839" s="61"/>
      <c r="O1839" s="61"/>
      <c r="P1839" s="61"/>
      <c r="Q1839" s="61"/>
      <c r="R1839" s="61"/>
      <c r="S1839" s="61"/>
      <c r="T1839" s="61"/>
      <c r="U1839" s="61"/>
      <c r="V1839" s="61"/>
      <c r="W1839" s="61"/>
      <c r="X1839" s="61"/>
      <c r="Y1839" s="61"/>
      <c r="Z1839" s="61"/>
      <c r="AA1839" s="61"/>
      <c r="AB1839" s="61"/>
      <c r="AC1839" s="61"/>
    </row>
    <row r="1840" ht="15.75" customHeight="1">
      <c r="A1840" s="61"/>
      <c r="B1840" s="61"/>
      <c r="C1840" s="61"/>
      <c r="D1840" s="61"/>
      <c r="E1840" s="61"/>
      <c r="F1840" s="61"/>
      <c r="G1840" s="61"/>
      <c r="H1840" s="61"/>
      <c r="I1840" s="61"/>
      <c r="J1840" s="61"/>
      <c r="K1840" s="61"/>
      <c r="L1840" s="61"/>
      <c r="M1840" s="61"/>
      <c r="N1840" s="61"/>
      <c r="O1840" s="61"/>
      <c r="P1840" s="61"/>
      <c r="Q1840" s="61"/>
      <c r="R1840" s="61"/>
      <c r="S1840" s="61"/>
      <c r="T1840" s="61"/>
      <c r="U1840" s="61"/>
      <c r="V1840" s="61"/>
      <c r="W1840" s="61"/>
      <c r="X1840" s="61"/>
      <c r="Y1840" s="61"/>
      <c r="Z1840" s="61"/>
      <c r="AA1840" s="61"/>
      <c r="AB1840" s="61"/>
      <c r="AC1840" s="61"/>
    </row>
    <row r="1841" ht="15.75" customHeight="1">
      <c r="A1841" s="61"/>
      <c r="B1841" s="61"/>
      <c r="C1841" s="61"/>
      <c r="D1841" s="61"/>
      <c r="E1841" s="61"/>
      <c r="F1841" s="61"/>
      <c r="G1841" s="61"/>
      <c r="H1841" s="61"/>
      <c r="I1841" s="61"/>
      <c r="J1841" s="61"/>
      <c r="K1841" s="61"/>
      <c r="L1841" s="61"/>
      <c r="M1841" s="61"/>
      <c r="N1841" s="61"/>
      <c r="O1841" s="61"/>
      <c r="P1841" s="61"/>
      <c r="Q1841" s="61"/>
      <c r="R1841" s="61"/>
      <c r="S1841" s="61"/>
      <c r="T1841" s="61"/>
      <c r="U1841" s="61"/>
      <c r="V1841" s="61"/>
      <c r="W1841" s="61"/>
      <c r="X1841" s="61"/>
      <c r="Y1841" s="61"/>
      <c r="Z1841" s="61"/>
      <c r="AA1841" s="61"/>
      <c r="AB1841" s="61"/>
      <c r="AC1841" s="61"/>
    </row>
    <row r="1842" ht="15.75" customHeight="1">
      <c r="A1842" s="61"/>
      <c r="B1842" s="61"/>
      <c r="C1842" s="61"/>
      <c r="D1842" s="61"/>
      <c r="E1842" s="61"/>
      <c r="F1842" s="61"/>
      <c r="G1842" s="61"/>
      <c r="H1842" s="61"/>
      <c r="I1842" s="61"/>
      <c r="J1842" s="61"/>
      <c r="K1842" s="61"/>
      <c r="L1842" s="61"/>
      <c r="M1842" s="61"/>
      <c r="N1842" s="61"/>
      <c r="O1842" s="61"/>
      <c r="P1842" s="61"/>
      <c r="Q1842" s="61"/>
      <c r="R1842" s="61"/>
      <c r="S1842" s="61"/>
      <c r="T1842" s="61"/>
      <c r="U1842" s="61"/>
      <c r="V1842" s="61"/>
      <c r="W1842" s="61"/>
      <c r="X1842" s="61"/>
      <c r="Y1842" s="61"/>
      <c r="Z1842" s="61"/>
      <c r="AA1842" s="61"/>
      <c r="AB1842" s="61"/>
      <c r="AC1842" s="61"/>
    </row>
    <row r="1843" ht="15.75" customHeight="1">
      <c r="A1843" s="61"/>
      <c r="B1843" s="61"/>
      <c r="C1843" s="61"/>
      <c r="D1843" s="61"/>
      <c r="E1843" s="61"/>
      <c r="F1843" s="61"/>
      <c r="G1843" s="61"/>
      <c r="H1843" s="61"/>
      <c r="I1843" s="61"/>
      <c r="J1843" s="61"/>
      <c r="K1843" s="61"/>
      <c r="L1843" s="61"/>
      <c r="M1843" s="61"/>
      <c r="N1843" s="61"/>
      <c r="O1843" s="61"/>
      <c r="P1843" s="61"/>
      <c r="Q1843" s="61"/>
      <c r="R1843" s="61"/>
      <c r="S1843" s="61"/>
      <c r="T1843" s="61"/>
      <c r="U1843" s="61"/>
      <c r="V1843" s="61"/>
      <c r="W1843" s="61"/>
      <c r="X1843" s="61"/>
      <c r="Y1843" s="61"/>
      <c r="Z1843" s="61"/>
      <c r="AA1843" s="61"/>
      <c r="AB1843" s="61"/>
      <c r="AC1843" s="61"/>
    </row>
    <row r="1844" ht="15.75" customHeight="1">
      <c r="A1844" s="61"/>
      <c r="B1844" s="61"/>
      <c r="C1844" s="61"/>
      <c r="D1844" s="61"/>
      <c r="E1844" s="61"/>
      <c r="F1844" s="61"/>
      <c r="G1844" s="61"/>
      <c r="H1844" s="61"/>
      <c r="I1844" s="61"/>
      <c r="J1844" s="61"/>
      <c r="K1844" s="61"/>
      <c r="L1844" s="61"/>
      <c r="M1844" s="61"/>
      <c r="N1844" s="61"/>
      <c r="O1844" s="61"/>
      <c r="P1844" s="61"/>
      <c r="Q1844" s="61"/>
      <c r="R1844" s="61"/>
      <c r="S1844" s="61"/>
      <c r="T1844" s="61"/>
      <c r="U1844" s="61"/>
      <c r="V1844" s="61"/>
      <c r="W1844" s="61"/>
      <c r="X1844" s="61"/>
      <c r="Y1844" s="61"/>
      <c r="Z1844" s="61"/>
      <c r="AA1844" s="61"/>
      <c r="AB1844" s="61"/>
      <c r="AC1844" s="61"/>
    </row>
    <row r="1845" ht="15.75" customHeight="1">
      <c r="A1845" s="61"/>
      <c r="B1845" s="61"/>
      <c r="C1845" s="61"/>
      <c r="D1845" s="61"/>
      <c r="E1845" s="61"/>
      <c r="F1845" s="61"/>
      <c r="G1845" s="61"/>
      <c r="H1845" s="61"/>
      <c r="I1845" s="61"/>
      <c r="J1845" s="61"/>
      <c r="K1845" s="61"/>
      <c r="L1845" s="61"/>
      <c r="M1845" s="61"/>
      <c r="N1845" s="61"/>
      <c r="O1845" s="61"/>
      <c r="P1845" s="61"/>
      <c r="Q1845" s="61"/>
      <c r="R1845" s="61"/>
      <c r="S1845" s="61"/>
      <c r="T1845" s="61"/>
      <c r="U1845" s="61"/>
      <c r="V1845" s="61"/>
      <c r="W1845" s="61"/>
      <c r="X1845" s="61"/>
      <c r="Y1845" s="61"/>
      <c r="Z1845" s="61"/>
      <c r="AA1845" s="61"/>
      <c r="AB1845" s="61"/>
      <c r="AC1845" s="61"/>
    </row>
    <row r="1846" ht="15.75" customHeight="1">
      <c r="A1846" s="61"/>
      <c r="B1846" s="61"/>
      <c r="C1846" s="61"/>
      <c r="D1846" s="61"/>
      <c r="E1846" s="61"/>
      <c r="F1846" s="61"/>
      <c r="G1846" s="61"/>
      <c r="H1846" s="61"/>
      <c r="I1846" s="61"/>
      <c r="J1846" s="61"/>
      <c r="K1846" s="61"/>
      <c r="L1846" s="61"/>
      <c r="M1846" s="61"/>
      <c r="N1846" s="61"/>
      <c r="O1846" s="61"/>
      <c r="P1846" s="61"/>
      <c r="Q1846" s="61"/>
      <c r="R1846" s="61"/>
      <c r="S1846" s="61"/>
      <c r="T1846" s="61"/>
      <c r="U1846" s="61"/>
      <c r="V1846" s="61"/>
      <c r="W1846" s="61"/>
      <c r="X1846" s="61"/>
      <c r="Y1846" s="61"/>
      <c r="Z1846" s="61"/>
      <c r="AA1846" s="61"/>
      <c r="AB1846" s="61"/>
      <c r="AC1846" s="61"/>
    </row>
    <row r="1847" ht="15.75" customHeight="1">
      <c r="A1847" s="61"/>
      <c r="B1847" s="61"/>
      <c r="C1847" s="61"/>
      <c r="D1847" s="61"/>
      <c r="E1847" s="61"/>
      <c r="F1847" s="61"/>
      <c r="G1847" s="61"/>
      <c r="H1847" s="61"/>
      <c r="I1847" s="61"/>
      <c r="J1847" s="61"/>
      <c r="K1847" s="61"/>
      <c r="L1847" s="61"/>
      <c r="M1847" s="61"/>
      <c r="N1847" s="61"/>
      <c r="O1847" s="61"/>
      <c r="P1847" s="61"/>
      <c r="Q1847" s="61"/>
      <c r="R1847" s="61"/>
      <c r="S1847" s="61"/>
      <c r="T1847" s="61"/>
      <c r="U1847" s="61"/>
      <c r="V1847" s="61"/>
      <c r="W1847" s="61"/>
      <c r="X1847" s="61"/>
      <c r="Y1847" s="61"/>
      <c r="Z1847" s="61"/>
      <c r="AA1847" s="61"/>
      <c r="AB1847" s="61"/>
      <c r="AC1847" s="61"/>
    </row>
    <row r="1848" ht="15.75" customHeight="1">
      <c r="A1848" s="61"/>
      <c r="B1848" s="61"/>
      <c r="C1848" s="61"/>
      <c r="D1848" s="61"/>
      <c r="E1848" s="61"/>
      <c r="F1848" s="61"/>
      <c r="G1848" s="61"/>
      <c r="H1848" s="61"/>
      <c r="I1848" s="61"/>
      <c r="J1848" s="61"/>
      <c r="K1848" s="61"/>
      <c r="L1848" s="61"/>
      <c r="M1848" s="61"/>
      <c r="N1848" s="61"/>
      <c r="O1848" s="61"/>
      <c r="P1848" s="61"/>
      <c r="Q1848" s="61"/>
      <c r="R1848" s="61"/>
      <c r="S1848" s="61"/>
      <c r="T1848" s="61"/>
      <c r="U1848" s="61"/>
      <c r="V1848" s="61"/>
      <c r="W1848" s="61"/>
      <c r="X1848" s="61"/>
      <c r="Y1848" s="61"/>
      <c r="Z1848" s="61"/>
      <c r="AA1848" s="61"/>
      <c r="AB1848" s="61"/>
      <c r="AC1848" s="61"/>
    </row>
    <row r="1849" ht="15.75" customHeight="1">
      <c r="A1849" s="61"/>
      <c r="B1849" s="61"/>
      <c r="C1849" s="61"/>
      <c r="D1849" s="61"/>
      <c r="E1849" s="61"/>
      <c r="F1849" s="61"/>
      <c r="G1849" s="61"/>
      <c r="H1849" s="61"/>
      <c r="I1849" s="61"/>
      <c r="J1849" s="61"/>
      <c r="K1849" s="61"/>
      <c r="L1849" s="61"/>
      <c r="M1849" s="61"/>
      <c r="N1849" s="61"/>
      <c r="O1849" s="61"/>
      <c r="P1849" s="61"/>
      <c r="Q1849" s="61"/>
      <c r="R1849" s="61"/>
      <c r="S1849" s="61"/>
      <c r="T1849" s="61"/>
      <c r="U1849" s="61"/>
      <c r="V1849" s="61"/>
      <c r="W1849" s="61"/>
      <c r="X1849" s="61"/>
      <c r="Y1849" s="61"/>
      <c r="Z1849" s="61"/>
      <c r="AA1849" s="61"/>
      <c r="AB1849" s="61"/>
      <c r="AC1849" s="61"/>
    </row>
    <row r="1850" ht="15.75" customHeight="1">
      <c r="A1850" s="61"/>
      <c r="B1850" s="61"/>
      <c r="C1850" s="61"/>
      <c r="D1850" s="61"/>
      <c r="E1850" s="61"/>
      <c r="F1850" s="61"/>
      <c r="G1850" s="61"/>
      <c r="H1850" s="61"/>
      <c r="I1850" s="61"/>
      <c r="J1850" s="61"/>
      <c r="K1850" s="61"/>
      <c r="L1850" s="61"/>
      <c r="M1850" s="61"/>
      <c r="N1850" s="61"/>
      <c r="O1850" s="61"/>
      <c r="P1850" s="61"/>
      <c r="Q1850" s="61"/>
      <c r="R1850" s="61"/>
      <c r="S1850" s="61"/>
      <c r="T1850" s="61"/>
      <c r="U1850" s="61"/>
      <c r="V1850" s="61"/>
      <c r="W1850" s="61"/>
      <c r="X1850" s="61"/>
      <c r="Y1850" s="61"/>
      <c r="Z1850" s="61"/>
      <c r="AA1850" s="61"/>
      <c r="AB1850" s="61"/>
      <c r="AC1850" s="61"/>
    </row>
    <row r="1851" ht="15.75" customHeight="1">
      <c r="A1851" s="61"/>
      <c r="B1851" s="61"/>
      <c r="C1851" s="61"/>
      <c r="D1851" s="61"/>
      <c r="E1851" s="61"/>
      <c r="F1851" s="61"/>
      <c r="G1851" s="61"/>
      <c r="H1851" s="61"/>
      <c r="I1851" s="61"/>
      <c r="J1851" s="61"/>
      <c r="K1851" s="61"/>
      <c r="L1851" s="61"/>
      <c r="M1851" s="61"/>
      <c r="N1851" s="61"/>
      <c r="O1851" s="61"/>
      <c r="P1851" s="61"/>
      <c r="Q1851" s="61"/>
      <c r="R1851" s="61"/>
      <c r="S1851" s="61"/>
      <c r="T1851" s="61"/>
      <c r="U1851" s="61"/>
      <c r="V1851" s="61"/>
      <c r="W1851" s="61"/>
      <c r="X1851" s="61"/>
      <c r="Y1851" s="61"/>
      <c r="Z1851" s="61"/>
      <c r="AA1851" s="61"/>
      <c r="AB1851" s="61"/>
      <c r="AC1851" s="61"/>
    </row>
    <row r="1852" ht="15.75" customHeight="1">
      <c r="A1852" s="61"/>
      <c r="B1852" s="61"/>
      <c r="C1852" s="61"/>
      <c r="D1852" s="61"/>
      <c r="E1852" s="61"/>
      <c r="F1852" s="61"/>
      <c r="G1852" s="61"/>
      <c r="H1852" s="61"/>
      <c r="I1852" s="61"/>
      <c r="J1852" s="61"/>
      <c r="K1852" s="61"/>
      <c r="L1852" s="61"/>
      <c r="M1852" s="61"/>
      <c r="N1852" s="61"/>
      <c r="O1852" s="61"/>
      <c r="P1852" s="61"/>
      <c r="Q1852" s="61"/>
      <c r="R1852" s="61"/>
      <c r="S1852" s="61"/>
      <c r="T1852" s="61"/>
      <c r="U1852" s="61"/>
      <c r="V1852" s="61"/>
      <c r="W1852" s="61"/>
      <c r="X1852" s="61"/>
      <c r="Y1852" s="61"/>
      <c r="Z1852" s="61"/>
      <c r="AA1852" s="61"/>
      <c r="AB1852" s="61"/>
      <c r="AC1852" s="61"/>
    </row>
    <row r="1853" ht="15.75" customHeight="1">
      <c r="A1853" s="61"/>
      <c r="B1853" s="61"/>
      <c r="C1853" s="61"/>
      <c r="D1853" s="61"/>
      <c r="E1853" s="61"/>
      <c r="F1853" s="61"/>
      <c r="G1853" s="61"/>
      <c r="H1853" s="61"/>
      <c r="I1853" s="61"/>
      <c r="J1853" s="61"/>
      <c r="K1853" s="61"/>
      <c r="L1853" s="61"/>
      <c r="M1853" s="61"/>
      <c r="N1853" s="61"/>
      <c r="O1853" s="61"/>
      <c r="P1853" s="61"/>
      <c r="Q1853" s="61"/>
      <c r="R1853" s="61"/>
      <c r="S1853" s="61"/>
      <c r="T1853" s="61"/>
      <c r="U1853" s="61"/>
      <c r="V1853" s="61"/>
      <c r="W1853" s="61"/>
      <c r="X1853" s="61"/>
      <c r="Y1853" s="61"/>
      <c r="Z1853" s="61"/>
      <c r="AA1853" s="61"/>
      <c r="AB1853" s="61"/>
      <c r="AC1853" s="61"/>
    </row>
    <row r="1854" ht="15.75" customHeight="1">
      <c r="A1854" s="61"/>
      <c r="B1854" s="61"/>
      <c r="C1854" s="61"/>
      <c r="D1854" s="61"/>
      <c r="E1854" s="61"/>
      <c r="F1854" s="61"/>
      <c r="G1854" s="61"/>
      <c r="H1854" s="61"/>
      <c r="I1854" s="61"/>
      <c r="J1854" s="61"/>
      <c r="K1854" s="61"/>
      <c r="L1854" s="61"/>
      <c r="M1854" s="61"/>
      <c r="N1854" s="61"/>
      <c r="O1854" s="61"/>
      <c r="P1854" s="61"/>
      <c r="Q1854" s="61"/>
      <c r="R1854" s="61"/>
      <c r="S1854" s="61"/>
      <c r="T1854" s="61"/>
      <c r="U1854" s="61"/>
      <c r="V1854" s="61"/>
      <c r="W1854" s="61"/>
      <c r="X1854" s="61"/>
      <c r="Y1854" s="61"/>
      <c r="Z1854" s="61"/>
      <c r="AA1854" s="61"/>
      <c r="AB1854" s="61"/>
      <c r="AC1854" s="61"/>
    </row>
    <row r="1855" ht="15.75" customHeight="1">
      <c r="A1855" s="61"/>
      <c r="B1855" s="61"/>
      <c r="C1855" s="61"/>
      <c r="D1855" s="61"/>
      <c r="E1855" s="61"/>
      <c r="F1855" s="61"/>
      <c r="G1855" s="61"/>
      <c r="H1855" s="61"/>
      <c r="I1855" s="61"/>
      <c r="J1855" s="61"/>
      <c r="K1855" s="61"/>
      <c r="L1855" s="61"/>
      <c r="M1855" s="61"/>
      <c r="N1855" s="61"/>
      <c r="O1855" s="61"/>
      <c r="P1855" s="61"/>
      <c r="Q1855" s="61"/>
      <c r="R1855" s="61"/>
      <c r="S1855" s="61"/>
      <c r="T1855" s="61"/>
      <c r="U1855" s="61"/>
      <c r="V1855" s="61"/>
      <c r="W1855" s="61"/>
      <c r="X1855" s="61"/>
      <c r="Y1855" s="61"/>
      <c r="Z1855" s="61"/>
      <c r="AA1855" s="61"/>
      <c r="AB1855" s="61"/>
      <c r="AC1855" s="61"/>
    </row>
    <row r="1856" ht="15.75" customHeight="1">
      <c r="A1856" s="61"/>
      <c r="B1856" s="61"/>
      <c r="C1856" s="61"/>
      <c r="D1856" s="61"/>
      <c r="E1856" s="61"/>
      <c r="F1856" s="61"/>
      <c r="G1856" s="61"/>
      <c r="H1856" s="61"/>
      <c r="I1856" s="61"/>
      <c r="J1856" s="61"/>
      <c r="K1856" s="61"/>
      <c r="L1856" s="61"/>
      <c r="M1856" s="61"/>
      <c r="N1856" s="61"/>
      <c r="O1856" s="61"/>
      <c r="P1856" s="61"/>
      <c r="Q1856" s="61"/>
      <c r="R1856" s="61"/>
      <c r="S1856" s="61"/>
      <c r="T1856" s="61"/>
      <c r="U1856" s="61"/>
      <c r="V1856" s="61"/>
      <c r="W1856" s="61"/>
      <c r="X1856" s="61"/>
      <c r="Y1856" s="61"/>
      <c r="Z1856" s="61"/>
      <c r="AA1856" s="61"/>
      <c r="AB1856" s="61"/>
      <c r="AC1856" s="61"/>
    </row>
    <row r="1857" ht="15.75" customHeight="1">
      <c r="A1857" s="61"/>
      <c r="B1857" s="61"/>
      <c r="C1857" s="61"/>
      <c r="D1857" s="61"/>
      <c r="E1857" s="61"/>
      <c r="F1857" s="61"/>
      <c r="G1857" s="61"/>
      <c r="H1857" s="61"/>
      <c r="I1857" s="61"/>
      <c r="J1857" s="61"/>
      <c r="K1857" s="61"/>
      <c r="L1857" s="61"/>
      <c r="M1857" s="61"/>
      <c r="N1857" s="61"/>
      <c r="O1857" s="61"/>
      <c r="P1857" s="61"/>
      <c r="Q1857" s="61"/>
      <c r="R1857" s="61"/>
      <c r="S1857" s="61"/>
      <c r="T1857" s="61"/>
      <c r="U1857" s="61"/>
      <c r="V1857" s="61"/>
      <c r="W1857" s="61"/>
      <c r="X1857" s="61"/>
      <c r="Y1857" s="61"/>
      <c r="Z1857" s="61"/>
      <c r="AA1857" s="61"/>
      <c r="AB1857" s="61"/>
      <c r="AC1857" s="61"/>
    </row>
    <row r="1858" ht="15.75" customHeight="1">
      <c r="A1858" s="61"/>
      <c r="B1858" s="61"/>
      <c r="C1858" s="61"/>
      <c r="D1858" s="61"/>
      <c r="E1858" s="61"/>
      <c r="F1858" s="61"/>
      <c r="G1858" s="61"/>
      <c r="H1858" s="61"/>
      <c r="I1858" s="61"/>
      <c r="J1858" s="61"/>
      <c r="K1858" s="61"/>
      <c r="L1858" s="61"/>
      <c r="M1858" s="61"/>
      <c r="N1858" s="61"/>
      <c r="O1858" s="61"/>
      <c r="P1858" s="61"/>
      <c r="Q1858" s="61"/>
      <c r="R1858" s="61"/>
      <c r="S1858" s="61"/>
      <c r="T1858" s="61"/>
      <c r="U1858" s="61"/>
      <c r="V1858" s="61"/>
      <c r="W1858" s="61"/>
      <c r="X1858" s="61"/>
      <c r="Y1858" s="61"/>
      <c r="Z1858" s="61"/>
      <c r="AA1858" s="61"/>
      <c r="AB1858" s="61"/>
      <c r="AC1858" s="61"/>
    </row>
    <row r="1859" ht="15.75" customHeight="1">
      <c r="A1859" s="61"/>
      <c r="B1859" s="61"/>
      <c r="C1859" s="61"/>
      <c r="D1859" s="61"/>
      <c r="E1859" s="61"/>
      <c r="F1859" s="61"/>
      <c r="G1859" s="61"/>
      <c r="H1859" s="61"/>
      <c r="I1859" s="61"/>
      <c r="J1859" s="61"/>
      <c r="K1859" s="61"/>
      <c r="L1859" s="61"/>
      <c r="M1859" s="61"/>
      <c r="N1859" s="61"/>
      <c r="O1859" s="61"/>
      <c r="P1859" s="61"/>
      <c r="Q1859" s="61"/>
      <c r="R1859" s="61"/>
      <c r="S1859" s="61"/>
      <c r="T1859" s="61"/>
      <c r="U1859" s="61"/>
      <c r="V1859" s="61"/>
      <c r="W1859" s="61"/>
      <c r="X1859" s="61"/>
      <c r="Y1859" s="61"/>
      <c r="Z1859" s="61"/>
      <c r="AA1859" s="61"/>
      <c r="AB1859" s="61"/>
      <c r="AC1859" s="61"/>
    </row>
    <row r="1860" ht="15.75" customHeight="1">
      <c r="A1860" s="61"/>
      <c r="B1860" s="61"/>
      <c r="C1860" s="61"/>
      <c r="D1860" s="61"/>
      <c r="E1860" s="61"/>
      <c r="F1860" s="61"/>
      <c r="G1860" s="61"/>
      <c r="H1860" s="61"/>
      <c r="I1860" s="61"/>
      <c r="J1860" s="61"/>
      <c r="K1860" s="61"/>
      <c r="L1860" s="61"/>
      <c r="M1860" s="61"/>
      <c r="N1860" s="61"/>
      <c r="O1860" s="61"/>
      <c r="P1860" s="61"/>
      <c r="Q1860" s="61"/>
      <c r="R1860" s="61"/>
      <c r="S1860" s="61"/>
      <c r="T1860" s="61"/>
      <c r="U1860" s="61"/>
      <c r="V1860" s="61"/>
      <c r="W1860" s="61"/>
      <c r="X1860" s="61"/>
      <c r="Y1860" s="61"/>
      <c r="Z1860" s="61"/>
      <c r="AA1860" s="61"/>
      <c r="AB1860" s="61"/>
      <c r="AC1860" s="61"/>
    </row>
    <row r="1861" ht="15.75" customHeight="1">
      <c r="A1861" s="61"/>
      <c r="B1861" s="61"/>
      <c r="C1861" s="61"/>
      <c r="D1861" s="61"/>
      <c r="E1861" s="61"/>
      <c r="F1861" s="61"/>
      <c r="G1861" s="61"/>
      <c r="H1861" s="61"/>
      <c r="I1861" s="61"/>
      <c r="J1861" s="61"/>
      <c r="K1861" s="61"/>
      <c r="L1861" s="61"/>
      <c r="M1861" s="61"/>
      <c r="N1861" s="61"/>
      <c r="O1861" s="61"/>
      <c r="P1861" s="61"/>
      <c r="Q1861" s="61"/>
      <c r="R1861" s="61"/>
      <c r="S1861" s="61"/>
      <c r="T1861" s="61"/>
      <c r="U1861" s="61"/>
      <c r="V1861" s="61"/>
      <c r="W1861" s="61"/>
      <c r="X1861" s="61"/>
      <c r="Y1861" s="61"/>
      <c r="Z1861" s="61"/>
      <c r="AA1861" s="61"/>
      <c r="AB1861" s="61"/>
      <c r="AC1861" s="61"/>
    </row>
    <row r="1862" ht="15.75" customHeight="1">
      <c r="A1862" s="61"/>
      <c r="B1862" s="61"/>
      <c r="C1862" s="61"/>
      <c r="D1862" s="61"/>
      <c r="E1862" s="61"/>
      <c r="F1862" s="61"/>
      <c r="G1862" s="61"/>
      <c r="H1862" s="61"/>
      <c r="I1862" s="61"/>
      <c r="J1862" s="61"/>
      <c r="K1862" s="61"/>
      <c r="L1862" s="61"/>
      <c r="M1862" s="61"/>
      <c r="N1862" s="61"/>
      <c r="O1862" s="61"/>
      <c r="P1862" s="61"/>
      <c r="Q1862" s="61"/>
      <c r="R1862" s="61"/>
      <c r="S1862" s="61"/>
      <c r="T1862" s="61"/>
      <c r="U1862" s="61"/>
      <c r="V1862" s="61"/>
      <c r="W1862" s="61"/>
      <c r="X1862" s="61"/>
      <c r="Y1862" s="61"/>
      <c r="Z1862" s="61"/>
      <c r="AA1862" s="61"/>
      <c r="AB1862" s="61"/>
      <c r="AC1862" s="61"/>
    </row>
    <row r="1863" ht="15.75" customHeight="1">
      <c r="A1863" s="61"/>
      <c r="B1863" s="61"/>
      <c r="C1863" s="61"/>
      <c r="D1863" s="61"/>
      <c r="E1863" s="61"/>
      <c r="F1863" s="61"/>
      <c r="G1863" s="61"/>
      <c r="H1863" s="61"/>
      <c r="I1863" s="61"/>
      <c r="J1863" s="61"/>
      <c r="K1863" s="61"/>
      <c r="L1863" s="61"/>
      <c r="M1863" s="61"/>
      <c r="N1863" s="61"/>
      <c r="O1863" s="61"/>
      <c r="P1863" s="61"/>
      <c r="Q1863" s="61"/>
      <c r="R1863" s="61"/>
      <c r="S1863" s="61"/>
      <c r="T1863" s="61"/>
      <c r="U1863" s="61"/>
      <c r="V1863" s="61"/>
      <c r="W1863" s="61"/>
      <c r="X1863" s="61"/>
      <c r="Y1863" s="61"/>
      <c r="Z1863" s="61"/>
      <c r="AA1863" s="61"/>
      <c r="AB1863" s="61"/>
      <c r="AC1863" s="61"/>
    </row>
    <row r="1864" ht="15.75" customHeight="1">
      <c r="A1864" s="61"/>
      <c r="B1864" s="61"/>
      <c r="C1864" s="61"/>
      <c r="D1864" s="61"/>
      <c r="E1864" s="61"/>
      <c r="F1864" s="61"/>
      <c r="G1864" s="61"/>
      <c r="H1864" s="61"/>
      <c r="I1864" s="61"/>
      <c r="J1864" s="61"/>
      <c r="K1864" s="61"/>
      <c r="L1864" s="61"/>
      <c r="M1864" s="61"/>
      <c r="N1864" s="61"/>
      <c r="O1864" s="61"/>
      <c r="P1864" s="61"/>
      <c r="Q1864" s="61"/>
      <c r="R1864" s="61"/>
      <c r="S1864" s="61"/>
      <c r="T1864" s="61"/>
      <c r="U1864" s="61"/>
      <c r="V1864" s="61"/>
      <c r="W1864" s="61"/>
      <c r="X1864" s="61"/>
      <c r="Y1864" s="61"/>
      <c r="Z1864" s="61"/>
      <c r="AA1864" s="61"/>
      <c r="AB1864" s="61"/>
      <c r="AC1864" s="61"/>
    </row>
    <row r="1865" ht="15.75" customHeight="1">
      <c r="A1865" s="61"/>
      <c r="B1865" s="61"/>
      <c r="C1865" s="61"/>
      <c r="D1865" s="61"/>
      <c r="E1865" s="61"/>
      <c r="F1865" s="61"/>
      <c r="G1865" s="61"/>
      <c r="H1865" s="61"/>
      <c r="I1865" s="61"/>
      <c r="J1865" s="61"/>
      <c r="K1865" s="61"/>
      <c r="L1865" s="61"/>
      <c r="M1865" s="61"/>
      <c r="N1865" s="61"/>
      <c r="O1865" s="61"/>
      <c r="P1865" s="61"/>
      <c r="Q1865" s="61"/>
      <c r="R1865" s="61"/>
      <c r="S1865" s="61"/>
      <c r="T1865" s="61"/>
      <c r="U1865" s="61"/>
      <c r="V1865" s="61"/>
      <c r="W1865" s="61"/>
      <c r="X1865" s="61"/>
      <c r="Y1865" s="61"/>
      <c r="Z1865" s="61"/>
      <c r="AA1865" s="61"/>
      <c r="AB1865" s="61"/>
      <c r="AC1865" s="61"/>
    </row>
    <row r="1866" ht="15.75" customHeight="1">
      <c r="A1866" s="61"/>
      <c r="B1866" s="61"/>
      <c r="C1866" s="61"/>
      <c r="D1866" s="61"/>
      <c r="E1866" s="61"/>
      <c r="F1866" s="61"/>
      <c r="G1866" s="61"/>
      <c r="H1866" s="61"/>
      <c r="I1866" s="61"/>
      <c r="J1866" s="61"/>
      <c r="K1866" s="61"/>
      <c r="L1866" s="61"/>
      <c r="M1866" s="61"/>
      <c r="N1866" s="61"/>
      <c r="O1866" s="61"/>
      <c r="P1866" s="61"/>
      <c r="Q1866" s="61"/>
      <c r="R1866" s="61"/>
      <c r="S1866" s="61"/>
      <c r="T1866" s="61"/>
      <c r="U1866" s="61"/>
      <c r="V1866" s="61"/>
      <c r="W1866" s="61"/>
      <c r="X1866" s="61"/>
      <c r="Y1866" s="61"/>
      <c r="Z1866" s="61"/>
      <c r="AA1866" s="61"/>
      <c r="AB1866" s="61"/>
      <c r="AC1866" s="61"/>
    </row>
    <row r="1867" ht="15.75" customHeight="1">
      <c r="A1867" s="61"/>
      <c r="B1867" s="61"/>
      <c r="C1867" s="61"/>
      <c r="D1867" s="61"/>
      <c r="E1867" s="61"/>
      <c r="F1867" s="61"/>
      <c r="G1867" s="61"/>
      <c r="H1867" s="61"/>
      <c r="I1867" s="61"/>
      <c r="J1867" s="61"/>
      <c r="K1867" s="61"/>
      <c r="L1867" s="61"/>
      <c r="M1867" s="61"/>
      <c r="N1867" s="61"/>
      <c r="O1867" s="61"/>
      <c r="P1867" s="61"/>
      <c r="Q1867" s="61"/>
      <c r="R1867" s="61"/>
      <c r="S1867" s="61"/>
      <c r="T1867" s="61"/>
      <c r="U1867" s="61"/>
      <c r="V1867" s="61"/>
      <c r="W1867" s="61"/>
      <c r="X1867" s="61"/>
      <c r="Y1867" s="61"/>
      <c r="Z1867" s="61"/>
      <c r="AA1867" s="61"/>
      <c r="AB1867" s="61"/>
      <c r="AC1867" s="61"/>
    </row>
    <row r="1868" ht="15.75" customHeight="1">
      <c r="A1868" s="61"/>
      <c r="B1868" s="61"/>
      <c r="C1868" s="61"/>
      <c r="D1868" s="61"/>
      <c r="E1868" s="61"/>
      <c r="F1868" s="61"/>
      <c r="G1868" s="61"/>
      <c r="H1868" s="61"/>
      <c r="I1868" s="61"/>
      <c r="J1868" s="61"/>
      <c r="K1868" s="61"/>
      <c r="L1868" s="61"/>
      <c r="M1868" s="61"/>
      <c r="N1868" s="61"/>
      <c r="O1868" s="61"/>
      <c r="P1868" s="61"/>
      <c r="Q1868" s="61"/>
      <c r="R1868" s="61"/>
      <c r="S1868" s="61"/>
      <c r="T1868" s="61"/>
      <c r="U1868" s="61"/>
      <c r="V1868" s="61"/>
      <c r="W1868" s="61"/>
      <c r="X1868" s="61"/>
      <c r="Y1868" s="61"/>
      <c r="Z1868" s="61"/>
      <c r="AA1868" s="61"/>
      <c r="AB1868" s="61"/>
      <c r="AC1868" s="61"/>
    </row>
    <row r="1869" ht="15.75" customHeight="1">
      <c r="A1869" s="61"/>
      <c r="B1869" s="61"/>
      <c r="C1869" s="61"/>
      <c r="D1869" s="61"/>
      <c r="E1869" s="61"/>
      <c r="F1869" s="61"/>
      <c r="G1869" s="61"/>
      <c r="H1869" s="61"/>
      <c r="I1869" s="61"/>
      <c r="J1869" s="61"/>
      <c r="K1869" s="61"/>
      <c r="L1869" s="61"/>
      <c r="M1869" s="61"/>
      <c r="N1869" s="61"/>
      <c r="O1869" s="61"/>
      <c r="P1869" s="61"/>
      <c r="Q1869" s="61"/>
      <c r="R1869" s="61"/>
      <c r="S1869" s="61"/>
      <c r="T1869" s="61"/>
      <c r="U1869" s="61"/>
      <c r="V1869" s="61"/>
      <c r="W1869" s="61"/>
      <c r="X1869" s="61"/>
      <c r="Y1869" s="61"/>
      <c r="Z1869" s="61"/>
      <c r="AA1869" s="61"/>
      <c r="AB1869" s="61"/>
      <c r="AC1869" s="61"/>
    </row>
    <row r="1870" ht="15.75" customHeight="1">
      <c r="A1870" s="61"/>
      <c r="B1870" s="61"/>
      <c r="C1870" s="61"/>
      <c r="D1870" s="61"/>
      <c r="E1870" s="61"/>
      <c r="F1870" s="61"/>
      <c r="G1870" s="61"/>
      <c r="H1870" s="61"/>
      <c r="I1870" s="61"/>
      <c r="J1870" s="61"/>
      <c r="K1870" s="61"/>
      <c r="L1870" s="61"/>
      <c r="M1870" s="61"/>
      <c r="N1870" s="61"/>
      <c r="O1870" s="61"/>
      <c r="P1870" s="61"/>
      <c r="Q1870" s="61"/>
      <c r="R1870" s="61"/>
      <c r="S1870" s="61"/>
      <c r="T1870" s="61"/>
      <c r="U1870" s="61"/>
      <c r="V1870" s="61"/>
      <c r="W1870" s="61"/>
      <c r="X1870" s="61"/>
      <c r="Y1870" s="61"/>
      <c r="Z1870" s="61"/>
      <c r="AA1870" s="61"/>
      <c r="AB1870" s="61"/>
      <c r="AC1870" s="61"/>
    </row>
    <row r="1871" ht="15.75" customHeight="1">
      <c r="A1871" s="61"/>
      <c r="B1871" s="61"/>
      <c r="C1871" s="61"/>
      <c r="D1871" s="61"/>
      <c r="E1871" s="61"/>
      <c r="F1871" s="61"/>
      <c r="G1871" s="61"/>
      <c r="H1871" s="61"/>
      <c r="I1871" s="61"/>
      <c r="J1871" s="61"/>
      <c r="K1871" s="61"/>
      <c r="L1871" s="61"/>
      <c r="M1871" s="61"/>
      <c r="N1871" s="61"/>
      <c r="O1871" s="61"/>
      <c r="P1871" s="61"/>
      <c r="Q1871" s="61"/>
      <c r="R1871" s="61"/>
      <c r="S1871" s="61"/>
      <c r="T1871" s="61"/>
      <c r="U1871" s="61"/>
      <c r="V1871" s="61"/>
      <c r="W1871" s="61"/>
      <c r="X1871" s="61"/>
      <c r="Y1871" s="61"/>
      <c r="Z1871" s="61"/>
      <c r="AA1871" s="61"/>
      <c r="AB1871" s="61"/>
      <c r="AC1871" s="61"/>
    </row>
    <row r="1872" ht="15.75" customHeight="1">
      <c r="A1872" s="61"/>
      <c r="B1872" s="61"/>
      <c r="C1872" s="61"/>
      <c r="D1872" s="61"/>
      <c r="E1872" s="61"/>
      <c r="F1872" s="61"/>
      <c r="G1872" s="61"/>
      <c r="H1872" s="61"/>
      <c r="I1872" s="61"/>
      <c r="J1872" s="61"/>
      <c r="K1872" s="61"/>
      <c r="L1872" s="61"/>
      <c r="M1872" s="61"/>
      <c r="N1872" s="61"/>
      <c r="O1872" s="61"/>
      <c r="P1872" s="61"/>
      <c r="Q1872" s="61"/>
      <c r="R1872" s="61"/>
      <c r="S1872" s="61"/>
      <c r="T1872" s="61"/>
      <c r="U1872" s="61"/>
      <c r="V1872" s="61"/>
      <c r="W1872" s="61"/>
      <c r="X1872" s="61"/>
      <c r="Y1872" s="61"/>
      <c r="Z1872" s="61"/>
      <c r="AA1872" s="61"/>
      <c r="AB1872" s="61"/>
      <c r="AC1872" s="61"/>
    </row>
    <row r="1873" ht="15.75" customHeight="1">
      <c r="A1873" s="61"/>
      <c r="B1873" s="61"/>
      <c r="C1873" s="61"/>
      <c r="D1873" s="61"/>
      <c r="E1873" s="61"/>
      <c r="F1873" s="61"/>
      <c r="G1873" s="61"/>
      <c r="H1873" s="61"/>
      <c r="I1873" s="61"/>
      <c r="J1873" s="61"/>
      <c r="K1873" s="61"/>
      <c r="L1873" s="61"/>
      <c r="M1873" s="61"/>
      <c r="N1873" s="61"/>
      <c r="O1873" s="61"/>
      <c r="P1873" s="61"/>
      <c r="Q1873" s="61"/>
      <c r="R1873" s="61"/>
      <c r="S1873" s="61"/>
      <c r="T1873" s="61"/>
      <c r="U1873" s="61"/>
      <c r="V1873" s="61"/>
      <c r="W1873" s="61"/>
      <c r="X1873" s="61"/>
      <c r="Y1873" s="61"/>
      <c r="Z1873" s="61"/>
      <c r="AA1873" s="61"/>
      <c r="AB1873" s="61"/>
      <c r="AC1873" s="61"/>
    </row>
    <row r="1874" ht="15.75" customHeight="1">
      <c r="A1874" s="61"/>
      <c r="B1874" s="61"/>
      <c r="C1874" s="61"/>
      <c r="D1874" s="61"/>
      <c r="E1874" s="61"/>
      <c r="F1874" s="61"/>
      <c r="G1874" s="61"/>
      <c r="H1874" s="61"/>
      <c r="I1874" s="61"/>
      <c r="J1874" s="61"/>
      <c r="K1874" s="61"/>
      <c r="L1874" s="61"/>
      <c r="M1874" s="61"/>
      <c r="N1874" s="61"/>
      <c r="O1874" s="61"/>
      <c r="P1874" s="61"/>
      <c r="Q1874" s="61"/>
      <c r="R1874" s="61"/>
      <c r="S1874" s="61"/>
      <c r="T1874" s="61"/>
      <c r="U1874" s="61"/>
      <c r="V1874" s="61"/>
      <c r="W1874" s="61"/>
      <c r="X1874" s="61"/>
      <c r="Y1874" s="61"/>
      <c r="Z1874" s="61"/>
      <c r="AA1874" s="61"/>
      <c r="AB1874" s="61"/>
      <c r="AC1874" s="61"/>
    </row>
    <row r="1875" ht="15.75" customHeight="1">
      <c r="A1875" s="61"/>
      <c r="B1875" s="61"/>
      <c r="C1875" s="61"/>
      <c r="D1875" s="61"/>
      <c r="E1875" s="61"/>
      <c r="F1875" s="61"/>
      <c r="G1875" s="61"/>
      <c r="H1875" s="61"/>
      <c r="I1875" s="61"/>
      <c r="J1875" s="61"/>
      <c r="K1875" s="61"/>
      <c r="L1875" s="61"/>
      <c r="M1875" s="61"/>
      <c r="N1875" s="61"/>
      <c r="O1875" s="61"/>
      <c r="P1875" s="61"/>
      <c r="Q1875" s="61"/>
      <c r="R1875" s="61"/>
      <c r="S1875" s="61"/>
      <c r="T1875" s="61"/>
      <c r="U1875" s="61"/>
      <c r="V1875" s="61"/>
      <c r="W1875" s="61"/>
      <c r="X1875" s="61"/>
      <c r="Y1875" s="61"/>
      <c r="Z1875" s="61"/>
      <c r="AA1875" s="61"/>
      <c r="AB1875" s="61"/>
      <c r="AC1875" s="61"/>
    </row>
    <row r="1876" ht="15.75" customHeight="1">
      <c r="A1876" s="61"/>
      <c r="B1876" s="61"/>
      <c r="C1876" s="61"/>
      <c r="D1876" s="61"/>
      <c r="E1876" s="61"/>
      <c r="F1876" s="61"/>
      <c r="G1876" s="61"/>
      <c r="H1876" s="61"/>
      <c r="I1876" s="61"/>
      <c r="J1876" s="61"/>
      <c r="K1876" s="61"/>
      <c r="L1876" s="61"/>
      <c r="M1876" s="61"/>
      <c r="N1876" s="61"/>
      <c r="O1876" s="61"/>
      <c r="P1876" s="61"/>
      <c r="Q1876" s="61"/>
      <c r="R1876" s="61"/>
      <c r="S1876" s="61"/>
      <c r="T1876" s="61"/>
      <c r="U1876" s="61"/>
      <c r="V1876" s="61"/>
      <c r="W1876" s="61"/>
      <c r="X1876" s="61"/>
      <c r="Y1876" s="61"/>
      <c r="Z1876" s="61"/>
      <c r="AA1876" s="61"/>
      <c r="AB1876" s="61"/>
      <c r="AC1876" s="61"/>
    </row>
    <row r="1877" ht="15.75" customHeight="1">
      <c r="A1877" s="61"/>
      <c r="B1877" s="61"/>
      <c r="C1877" s="61"/>
      <c r="D1877" s="61"/>
      <c r="E1877" s="61"/>
      <c r="F1877" s="61"/>
      <c r="G1877" s="61"/>
      <c r="H1877" s="61"/>
      <c r="I1877" s="61"/>
      <c r="J1877" s="61"/>
      <c r="K1877" s="61"/>
      <c r="L1877" s="61"/>
      <c r="M1877" s="61"/>
      <c r="N1877" s="61"/>
      <c r="O1877" s="61"/>
      <c r="P1877" s="61"/>
      <c r="Q1877" s="61"/>
      <c r="R1877" s="61"/>
      <c r="S1877" s="61"/>
      <c r="T1877" s="61"/>
      <c r="U1877" s="61"/>
      <c r="V1877" s="61"/>
      <c r="W1877" s="61"/>
      <c r="X1877" s="61"/>
      <c r="Y1877" s="61"/>
      <c r="Z1877" s="61"/>
      <c r="AA1877" s="61"/>
      <c r="AB1877" s="61"/>
      <c r="AC1877" s="61"/>
    </row>
    <row r="1878" ht="15.75" customHeight="1">
      <c r="A1878" s="61"/>
      <c r="B1878" s="61"/>
      <c r="C1878" s="61"/>
      <c r="D1878" s="61"/>
      <c r="E1878" s="61"/>
      <c r="F1878" s="61"/>
      <c r="G1878" s="61"/>
      <c r="H1878" s="61"/>
      <c r="I1878" s="61"/>
      <c r="J1878" s="61"/>
      <c r="K1878" s="61"/>
      <c r="L1878" s="61"/>
      <c r="M1878" s="61"/>
      <c r="N1878" s="61"/>
      <c r="O1878" s="61"/>
      <c r="P1878" s="61"/>
      <c r="Q1878" s="61"/>
      <c r="R1878" s="61"/>
      <c r="S1878" s="61"/>
      <c r="T1878" s="61"/>
      <c r="U1878" s="61"/>
      <c r="V1878" s="61"/>
      <c r="W1878" s="61"/>
      <c r="X1878" s="61"/>
      <c r="Y1878" s="61"/>
      <c r="Z1878" s="61"/>
      <c r="AA1878" s="61"/>
      <c r="AB1878" s="61"/>
      <c r="AC1878" s="61"/>
    </row>
    <row r="1879" ht="15.75" customHeight="1">
      <c r="A1879" s="61"/>
      <c r="B1879" s="61"/>
      <c r="C1879" s="61"/>
      <c r="D1879" s="61"/>
      <c r="E1879" s="61"/>
      <c r="F1879" s="61"/>
      <c r="G1879" s="61"/>
      <c r="H1879" s="61"/>
      <c r="I1879" s="61"/>
      <c r="J1879" s="61"/>
      <c r="K1879" s="61"/>
      <c r="L1879" s="61"/>
      <c r="M1879" s="61"/>
      <c r="N1879" s="61"/>
      <c r="O1879" s="61"/>
      <c r="P1879" s="61"/>
      <c r="Q1879" s="61"/>
      <c r="R1879" s="61"/>
      <c r="S1879" s="61"/>
      <c r="T1879" s="61"/>
      <c r="U1879" s="61"/>
      <c r="V1879" s="61"/>
      <c r="W1879" s="61"/>
      <c r="X1879" s="61"/>
      <c r="Y1879" s="61"/>
      <c r="Z1879" s="61"/>
      <c r="AA1879" s="61"/>
      <c r="AB1879" s="61"/>
      <c r="AC1879" s="61"/>
    </row>
    <row r="1880" ht="15.75" customHeight="1">
      <c r="A1880" s="61"/>
      <c r="B1880" s="61"/>
      <c r="C1880" s="61"/>
      <c r="D1880" s="61"/>
      <c r="E1880" s="61"/>
      <c r="F1880" s="61"/>
      <c r="G1880" s="61"/>
      <c r="H1880" s="61"/>
      <c r="I1880" s="61"/>
      <c r="J1880" s="61"/>
      <c r="K1880" s="61"/>
      <c r="L1880" s="61"/>
      <c r="M1880" s="61"/>
      <c r="N1880" s="61"/>
      <c r="O1880" s="61"/>
      <c r="P1880" s="61"/>
      <c r="Q1880" s="61"/>
      <c r="R1880" s="61"/>
      <c r="S1880" s="61"/>
      <c r="T1880" s="61"/>
      <c r="U1880" s="61"/>
      <c r="V1880" s="61"/>
      <c r="W1880" s="61"/>
      <c r="X1880" s="61"/>
      <c r="Y1880" s="61"/>
      <c r="Z1880" s="61"/>
      <c r="AA1880" s="61"/>
      <c r="AB1880" s="61"/>
      <c r="AC1880" s="61"/>
    </row>
    <row r="1881" ht="15.75" customHeight="1">
      <c r="A1881" s="61"/>
      <c r="B1881" s="61"/>
      <c r="C1881" s="61"/>
      <c r="D1881" s="61"/>
      <c r="E1881" s="61"/>
      <c r="F1881" s="61"/>
      <c r="G1881" s="61"/>
      <c r="H1881" s="61"/>
      <c r="I1881" s="61"/>
      <c r="J1881" s="61"/>
      <c r="K1881" s="61"/>
      <c r="L1881" s="61"/>
      <c r="M1881" s="61"/>
      <c r="N1881" s="61"/>
      <c r="O1881" s="61"/>
      <c r="P1881" s="61"/>
      <c r="Q1881" s="61"/>
      <c r="R1881" s="61"/>
      <c r="S1881" s="61"/>
      <c r="T1881" s="61"/>
      <c r="U1881" s="61"/>
      <c r="V1881" s="61"/>
      <c r="W1881" s="61"/>
      <c r="X1881" s="61"/>
      <c r="Y1881" s="61"/>
      <c r="Z1881" s="61"/>
      <c r="AA1881" s="61"/>
      <c r="AB1881" s="61"/>
      <c r="AC1881" s="61"/>
    </row>
    <row r="1882" ht="15.75" customHeight="1">
      <c r="A1882" s="61"/>
      <c r="B1882" s="61"/>
      <c r="C1882" s="61"/>
      <c r="D1882" s="61"/>
      <c r="E1882" s="61"/>
      <c r="F1882" s="61"/>
      <c r="G1882" s="61"/>
      <c r="H1882" s="61"/>
      <c r="I1882" s="61"/>
      <c r="J1882" s="61"/>
      <c r="K1882" s="61"/>
      <c r="L1882" s="61"/>
      <c r="M1882" s="61"/>
      <c r="N1882" s="61"/>
      <c r="O1882" s="61"/>
      <c r="P1882" s="61"/>
      <c r="Q1882" s="61"/>
      <c r="R1882" s="61"/>
      <c r="S1882" s="61"/>
      <c r="T1882" s="61"/>
      <c r="U1882" s="61"/>
      <c r="V1882" s="61"/>
      <c r="W1882" s="61"/>
      <c r="X1882" s="61"/>
      <c r="Y1882" s="61"/>
      <c r="Z1882" s="61"/>
      <c r="AA1882" s="61"/>
      <c r="AB1882" s="61"/>
      <c r="AC1882" s="61"/>
    </row>
    <row r="1883" ht="15.75" customHeight="1">
      <c r="A1883" s="61"/>
      <c r="B1883" s="61"/>
      <c r="C1883" s="61"/>
      <c r="D1883" s="61"/>
      <c r="E1883" s="61"/>
      <c r="F1883" s="61"/>
      <c r="G1883" s="61"/>
      <c r="H1883" s="61"/>
      <c r="I1883" s="61"/>
      <c r="J1883" s="61"/>
      <c r="K1883" s="61"/>
      <c r="L1883" s="61"/>
      <c r="M1883" s="61"/>
      <c r="N1883" s="61"/>
      <c r="O1883" s="61"/>
      <c r="P1883" s="61"/>
      <c r="Q1883" s="61"/>
      <c r="R1883" s="61"/>
      <c r="S1883" s="61"/>
      <c r="T1883" s="61"/>
      <c r="U1883" s="61"/>
      <c r="V1883" s="61"/>
      <c r="W1883" s="61"/>
      <c r="X1883" s="61"/>
      <c r="Y1883" s="61"/>
      <c r="Z1883" s="61"/>
      <c r="AA1883" s="61"/>
      <c r="AB1883" s="61"/>
      <c r="AC1883" s="61"/>
    </row>
    <row r="1884" ht="15.75" customHeight="1">
      <c r="A1884" s="61"/>
      <c r="B1884" s="61"/>
      <c r="C1884" s="61"/>
      <c r="D1884" s="61"/>
      <c r="E1884" s="61"/>
      <c r="F1884" s="61"/>
      <c r="G1884" s="61"/>
      <c r="H1884" s="61"/>
      <c r="I1884" s="61"/>
      <c r="J1884" s="61"/>
      <c r="K1884" s="61"/>
      <c r="L1884" s="61"/>
      <c r="M1884" s="61"/>
      <c r="N1884" s="61"/>
      <c r="O1884" s="61"/>
      <c r="P1884" s="61"/>
      <c r="Q1884" s="61"/>
      <c r="R1884" s="61"/>
      <c r="S1884" s="61"/>
      <c r="T1884" s="61"/>
      <c r="U1884" s="61"/>
      <c r="V1884" s="61"/>
      <c r="W1884" s="61"/>
      <c r="X1884" s="61"/>
      <c r="Y1884" s="61"/>
      <c r="Z1884" s="61"/>
      <c r="AA1884" s="61"/>
      <c r="AB1884" s="61"/>
      <c r="AC1884" s="61"/>
    </row>
    <row r="1885" ht="15.75" customHeight="1">
      <c r="A1885" s="61"/>
      <c r="B1885" s="61"/>
      <c r="C1885" s="61"/>
      <c r="D1885" s="61"/>
      <c r="E1885" s="61"/>
      <c r="F1885" s="61"/>
      <c r="G1885" s="61"/>
      <c r="H1885" s="61"/>
      <c r="I1885" s="61"/>
      <c r="J1885" s="61"/>
      <c r="K1885" s="61"/>
      <c r="L1885" s="61"/>
      <c r="M1885" s="61"/>
      <c r="N1885" s="61"/>
      <c r="O1885" s="61"/>
      <c r="P1885" s="61"/>
      <c r="Q1885" s="61"/>
      <c r="R1885" s="61"/>
      <c r="S1885" s="61"/>
      <c r="T1885" s="61"/>
      <c r="U1885" s="61"/>
      <c r="V1885" s="61"/>
      <c r="W1885" s="61"/>
      <c r="X1885" s="61"/>
      <c r="Y1885" s="61"/>
      <c r="Z1885" s="61"/>
      <c r="AA1885" s="61"/>
      <c r="AB1885" s="61"/>
      <c r="AC1885" s="61"/>
    </row>
    <row r="1886" ht="15.75" customHeight="1">
      <c r="A1886" s="61"/>
      <c r="B1886" s="61"/>
      <c r="C1886" s="61"/>
      <c r="D1886" s="61"/>
      <c r="E1886" s="61"/>
      <c r="F1886" s="61"/>
      <c r="G1886" s="61"/>
      <c r="H1886" s="61"/>
      <c r="I1886" s="61"/>
      <c r="J1886" s="61"/>
      <c r="K1886" s="61"/>
      <c r="L1886" s="61"/>
      <c r="M1886" s="61"/>
      <c r="N1886" s="61"/>
      <c r="O1886" s="61"/>
      <c r="P1886" s="61"/>
      <c r="Q1886" s="61"/>
      <c r="R1886" s="61"/>
      <c r="S1886" s="61"/>
      <c r="T1886" s="61"/>
      <c r="U1886" s="61"/>
      <c r="V1886" s="61"/>
      <c r="W1886" s="61"/>
      <c r="X1886" s="61"/>
      <c r="Y1886" s="61"/>
      <c r="Z1886" s="61"/>
      <c r="AA1886" s="61"/>
      <c r="AB1886" s="61"/>
      <c r="AC1886" s="61"/>
    </row>
    <row r="1887" ht="15.75" customHeight="1">
      <c r="A1887" s="61"/>
      <c r="B1887" s="61"/>
      <c r="C1887" s="61"/>
      <c r="D1887" s="61"/>
      <c r="E1887" s="61"/>
      <c r="F1887" s="61"/>
      <c r="G1887" s="61"/>
      <c r="H1887" s="61"/>
      <c r="I1887" s="61"/>
      <c r="J1887" s="61"/>
      <c r="K1887" s="61"/>
      <c r="L1887" s="61"/>
      <c r="M1887" s="61"/>
      <c r="N1887" s="61"/>
      <c r="O1887" s="61"/>
      <c r="P1887" s="61"/>
      <c r="Q1887" s="61"/>
      <c r="R1887" s="61"/>
      <c r="S1887" s="61"/>
      <c r="T1887" s="61"/>
      <c r="U1887" s="61"/>
      <c r="V1887" s="61"/>
      <c r="W1887" s="61"/>
      <c r="X1887" s="61"/>
      <c r="Y1887" s="61"/>
      <c r="Z1887" s="61"/>
      <c r="AA1887" s="61"/>
      <c r="AB1887" s="61"/>
      <c r="AC1887" s="61"/>
    </row>
    <row r="1888" ht="15.75" customHeight="1">
      <c r="A1888" s="61"/>
      <c r="B1888" s="61"/>
      <c r="C1888" s="61"/>
      <c r="D1888" s="61"/>
      <c r="E1888" s="61"/>
      <c r="F1888" s="61"/>
      <c r="G1888" s="61"/>
      <c r="H1888" s="61"/>
      <c r="I1888" s="61"/>
      <c r="J1888" s="61"/>
      <c r="K1888" s="61"/>
      <c r="L1888" s="61"/>
      <c r="M1888" s="61"/>
      <c r="N1888" s="61"/>
      <c r="O1888" s="61"/>
      <c r="P1888" s="61"/>
      <c r="Q1888" s="61"/>
      <c r="R1888" s="61"/>
      <c r="S1888" s="61"/>
      <c r="T1888" s="61"/>
      <c r="U1888" s="61"/>
      <c r="V1888" s="61"/>
      <c r="W1888" s="61"/>
      <c r="X1888" s="61"/>
      <c r="Y1888" s="61"/>
      <c r="Z1888" s="61"/>
      <c r="AA1888" s="61"/>
      <c r="AB1888" s="61"/>
      <c r="AC1888" s="61"/>
    </row>
    <row r="1889" ht="15.75" customHeight="1">
      <c r="A1889" s="61"/>
      <c r="B1889" s="61"/>
      <c r="C1889" s="61"/>
      <c r="D1889" s="61"/>
      <c r="E1889" s="61"/>
      <c r="F1889" s="61"/>
      <c r="G1889" s="61"/>
      <c r="H1889" s="61"/>
      <c r="I1889" s="61"/>
      <c r="J1889" s="61"/>
      <c r="K1889" s="61"/>
      <c r="L1889" s="61"/>
      <c r="M1889" s="61"/>
      <c r="N1889" s="61"/>
      <c r="O1889" s="61"/>
      <c r="P1889" s="61"/>
      <c r="Q1889" s="61"/>
      <c r="R1889" s="61"/>
      <c r="S1889" s="61"/>
      <c r="T1889" s="61"/>
      <c r="U1889" s="61"/>
      <c r="V1889" s="61"/>
      <c r="W1889" s="61"/>
      <c r="X1889" s="61"/>
      <c r="Y1889" s="61"/>
      <c r="Z1889" s="61"/>
      <c r="AA1889" s="61"/>
      <c r="AB1889" s="61"/>
      <c r="AC1889" s="61"/>
    </row>
    <row r="1890" ht="15.75" customHeight="1">
      <c r="A1890" s="61"/>
      <c r="B1890" s="61"/>
      <c r="C1890" s="61"/>
      <c r="D1890" s="61"/>
      <c r="E1890" s="61"/>
      <c r="F1890" s="61"/>
      <c r="G1890" s="61"/>
      <c r="H1890" s="61"/>
      <c r="I1890" s="61"/>
      <c r="J1890" s="61"/>
      <c r="K1890" s="61"/>
      <c r="L1890" s="61"/>
      <c r="M1890" s="61"/>
      <c r="N1890" s="61"/>
      <c r="O1890" s="61"/>
      <c r="P1890" s="61"/>
      <c r="Q1890" s="61"/>
      <c r="R1890" s="61"/>
      <c r="S1890" s="61"/>
      <c r="T1890" s="61"/>
      <c r="U1890" s="61"/>
      <c r="V1890" s="61"/>
      <c r="W1890" s="61"/>
      <c r="X1890" s="61"/>
      <c r="Y1890" s="61"/>
      <c r="Z1890" s="61"/>
      <c r="AA1890" s="61"/>
      <c r="AB1890" s="61"/>
      <c r="AC1890" s="61"/>
    </row>
    <row r="1891" ht="15.75" customHeight="1">
      <c r="A1891" s="61"/>
      <c r="B1891" s="61"/>
      <c r="C1891" s="61"/>
      <c r="D1891" s="61"/>
      <c r="E1891" s="61"/>
      <c r="F1891" s="61"/>
      <c r="G1891" s="61"/>
      <c r="H1891" s="61"/>
      <c r="I1891" s="61"/>
      <c r="J1891" s="61"/>
      <c r="K1891" s="61"/>
      <c r="L1891" s="61"/>
      <c r="M1891" s="61"/>
      <c r="N1891" s="61"/>
      <c r="O1891" s="61"/>
      <c r="P1891" s="61"/>
      <c r="Q1891" s="61"/>
      <c r="R1891" s="61"/>
      <c r="S1891" s="61"/>
      <c r="T1891" s="61"/>
      <c r="U1891" s="61"/>
      <c r="V1891" s="61"/>
      <c r="W1891" s="61"/>
      <c r="X1891" s="61"/>
      <c r="Y1891" s="61"/>
      <c r="Z1891" s="61"/>
      <c r="AA1891" s="61"/>
      <c r="AB1891" s="61"/>
      <c r="AC1891" s="61"/>
    </row>
    <row r="1892" ht="15.75" customHeight="1">
      <c r="A1892" s="61"/>
      <c r="B1892" s="61"/>
      <c r="C1892" s="61"/>
      <c r="D1892" s="61"/>
      <c r="E1892" s="61"/>
      <c r="F1892" s="61"/>
      <c r="G1892" s="61"/>
      <c r="H1892" s="61"/>
      <c r="I1892" s="61"/>
      <c r="J1892" s="61"/>
      <c r="K1892" s="61"/>
      <c r="L1892" s="61"/>
      <c r="M1892" s="61"/>
      <c r="N1892" s="61"/>
      <c r="O1892" s="61"/>
      <c r="P1892" s="61"/>
      <c r="Q1892" s="61"/>
      <c r="R1892" s="61"/>
      <c r="S1892" s="61"/>
      <c r="T1892" s="61"/>
      <c r="U1892" s="61"/>
      <c r="V1892" s="61"/>
      <c r="W1892" s="61"/>
      <c r="X1892" s="61"/>
      <c r="Y1892" s="61"/>
      <c r="Z1892" s="61"/>
      <c r="AA1892" s="61"/>
      <c r="AB1892" s="61"/>
      <c r="AC1892" s="61"/>
    </row>
    <row r="1893" ht="15.75" customHeight="1">
      <c r="A1893" s="61"/>
      <c r="B1893" s="61"/>
      <c r="C1893" s="61"/>
      <c r="D1893" s="61"/>
      <c r="E1893" s="61"/>
      <c r="F1893" s="61"/>
      <c r="G1893" s="61"/>
      <c r="H1893" s="61"/>
      <c r="I1893" s="61"/>
      <c r="J1893" s="61"/>
      <c r="K1893" s="61"/>
      <c r="L1893" s="61"/>
      <c r="M1893" s="61"/>
      <c r="N1893" s="61"/>
      <c r="O1893" s="61"/>
      <c r="P1893" s="61"/>
      <c r="Q1893" s="61"/>
      <c r="R1893" s="61"/>
      <c r="S1893" s="61"/>
      <c r="T1893" s="61"/>
      <c r="U1893" s="61"/>
      <c r="V1893" s="61"/>
      <c r="W1893" s="61"/>
      <c r="X1893" s="61"/>
      <c r="Y1893" s="61"/>
      <c r="Z1893" s="61"/>
      <c r="AA1893" s="61"/>
      <c r="AB1893" s="61"/>
      <c r="AC1893" s="61"/>
    </row>
    <row r="1894" ht="15.75" customHeight="1">
      <c r="A1894" s="61"/>
      <c r="B1894" s="61"/>
      <c r="C1894" s="61"/>
      <c r="D1894" s="61"/>
      <c r="E1894" s="61"/>
      <c r="F1894" s="61"/>
      <c r="G1894" s="61"/>
      <c r="H1894" s="61"/>
      <c r="I1894" s="61"/>
      <c r="J1894" s="61"/>
      <c r="K1894" s="61"/>
      <c r="L1894" s="61"/>
      <c r="M1894" s="61"/>
      <c r="N1894" s="61"/>
      <c r="O1894" s="61"/>
      <c r="P1894" s="61"/>
      <c r="Q1894" s="61"/>
      <c r="R1894" s="61"/>
      <c r="S1894" s="61"/>
      <c r="T1894" s="61"/>
      <c r="U1894" s="61"/>
      <c r="V1894" s="61"/>
      <c r="W1894" s="61"/>
      <c r="X1894" s="61"/>
      <c r="Y1894" s="61"/>
      <c r="Z1894" s="61"/>
      <c r="AA1894" s="61"/>
      <c r="AB1894" s="61"/>
      <c r="AC1894" s="61"/>
    </row>
    <row r="1895" ht="15.75" customHeight="1">
      <c r="A1895" s="61"/>
      <c r="B1895" s="61"/>
      <c r="C1895" s="61"/>
      <c r="D1895" s="61"/>
      <c r="E1895" s="61"/>
      <c r="F1895" s="61"/>
      <c r="G1895" s="61"/>
      <c r="H1895" s="61"/>
      <c r="I1895" s="61"/>
      <c r="J1895" s="61"/>
      <c r="K1895" s="61"/>
      <c r="L1895" s="61"/>
      <c r="M1895" s="61"/>
      <c r="N1895" s="61"/>
      <c r="O1895" s="61"/>
      <c r="P1895" s="61"/>
      <c r="Q1895" s="61"/>
      <c r="R1895" s="61"/>
      <c r="S1895" s="61"/>
      <c r="T1895" s="61"/>
      <c r="U1895" s="61"/>
      <c r="V1895" s="61"/>
      <c r="W1895" s="61"/>
      <c r="X1895" s="61"/>
      <c r="Y1895" s="61"/>
      <c r="Z1895" s="61"/>
      <c r="AA1895" s="61"/>
      <c r="AB1895" s="61"/>
      <c r="AC1895" s="61"/>
    </row>
    <row r="1896" ht="15.75" customHeight="1">
      <c r="A1896" s="61"/>
      <c r="B1896" s="61"/>
      <c r="C1896" s="61"/>
      <c r="D1896" s="61"/>
      <c r="E1896" s="61"/>
      <c r="F1896" s="61"/>
      <c r="G1896" s="61"/>
      <c r="H1896" s="61"/>
      <c r="I1896" s="61"/>
      <c r="J1896" s="61"/>
      <c r="K1896" s="61"/>
      <c r="L1896" s="61"/>
      <c r="M1896" s="61"/>
      <c r="N1896" s="61"/>
      <c r="O1896" s="61"/>
      <c r="P1896" s="61"/>
      <c r="Q1896" s="61"/>
      <c r="R1896" s="61"/>
      <c r="S1896" s="61"/>
      <c r="T1896" s="61"/>
      <c r="U1896" s="61"/>
      <c r="V1896" s="61"/>
      <c r="W1896" s="61"/>
      <c r="X1896" s="61"/>
      <c r="Y1896" s="61"/>
      <c r="Z1896" s="61"/>
      <c r="AA1896" s="61"/>
      <c r="AB1896" s="61"/>
      <c r="AC1896" s="61"/>
    </row>
    <row r="1897" ht="15.75" customHeight="1">
      <c r="A1897" s="61"/>
      <c r="B1897" s="61"/>
      <c r="C1897" s="61"/>
      <c r="D1897" s="61"/>
      <c r="E1897" s="61"/>
      <c r="F1897" s="61"/>
      <c r="G1897" s="61"/>
      <c r="H1897" s="61"/>
      <c r="I1897" s="61"/>
      <c r="J1897" s="61"/>
      <c r="K1897" s="61"/>
      <c r="L1897" s="61"/>
      <c r="M1897" s="61"/>
      <c r="N1897" s="61"/>
      <c r="O1897" s="61"/>
      <c r="P1897" s="61"/>
      <c r="Q1897" s="61"/>
      <c r="R1897" s="61"/>
      <c r="S1897" s="61"/>
      <c r="T1897" s="61"/>
      <c r="U1897" s="61"/>
      <c r="V1897" s="61"/>
      <c r="W1897" s="61"/>
      <c r="X1897" s="61"/>
      <c r="Y1897" s="61"/>
      <c r="Z1897" s="61"/>
      <c r="AA1897" s="61"/>
      <c r="AB1897" s="61"/>
      <c r="AC1897" s="61"/>
    </row>
    <row r="1898" ht="15.75" customHeight="1">
      <c r="A1898" s="61"/>
      <c r="B1898" s="61"/>
      <c r="C1898" s="61"/>
      <c r="D1898" s="61"/>
      <c r="E1898" s="61"/>
      <c r="F1898" s="61"/>
      <c r="G1898" s="61"/>
      <c r="H1898" s="61"/>
      <c r="I1898" s="61"/>
      <c r="J1898" s="61"/>
      <c r="K1898" s="61"/>
      <c r="L1898" s="61"/>
      <c r="M1898" s="61"/>
      <c r="N1898" s="61"/>
      <c r="O1898" s="61"/>
      <c r="P1898" s="61"/>
      <c r="Q1898" s="61"/>
      <c r="R1898" s="61"/>
      <c r="S1898" s="61"/>
      <c r="T1898" s="61"/>
      <c r="U1898" s="61"/>
      <c r="V1898" s="61"/>
      <c r="W1898" s="61"/>
      <c r="X1898" s="61"/>
      <c r="Y1898" s="61"/>
      <c r="Z1898" s="61"/>
      <c r="AA1898" s="61"/>
      <c r="AB1898" s="61"/>
      <c r="AC1898" s="61"/>
    </row>
    <row r="1899" ht="15.75" customHeight="1">
      <c r="A1899" s="61"/>
      <c r="B1899" s="61"/>
      <c r="C1899" s="61"/>
      <c r="D1899" s="61"/>
      <c r="E1899" s="61"/>
      <c r="F1899" s="61"/>
      <c r="G1899" s="61"/>
      <c r="H1899" s="61"/>
      <c r="I1899" s="61"/>
      <c r="J1899" s="61"/>
      <c r="K1899" s="61"/>
      <c r="L1899" s="61"/>
      <c r="M1899" s="61"/>
      <c r="N1899" s="61"/>
      <c r="O1899" s="61"/>
      <c r="P1899" s="61"/>
      <c r="Q1899" s="61"/>
      <c r="R1899" s="61"/>
      <c r="S1899" s="61"/>
      <c r="T1899" s="61"/>
      <c r="U1899" s="61"/>
      <c r="V1899" s="61"/>
      <c r="W1899" s="61"/>
      <c r="X1899" s="61"/>
      <c r="Y1899" s="61"/>
      <c r="Z1899" s="61"/>
      <c r="AA1899" s="61"/>
      <c r="AB1899" s="61"/>
      <c r="AC1899" s="61"/>
    </row>
    <row r="1900" ht="15.75" customHeight="1">
      <c r="A1900" s="61"/>
      <c r="B1900" s="61"/>
      <c r="C1900" s="61"/>
      <c r="D1900" s="61"/>
      <c r="E1900" s="61"/>
      <c r="F1900" s="61"/>
      <c r="G1900" s="61"/>
      <c r="H1900" s="61"/>
      <c r="I1900" s="61"/>
      <c r="J1900" s="61"/>
      <c r="K1900" s="61"/>
      <c r="L1900" s="61"/>
      <c r="M1900" s="61"/>
      <c r="N1900" s="61"/>
      <c r="O1900" s="61"/>
      <c r="P1900" s="61"/>
      <c r="Q1900" s="61"/>
      <c r="R1900" s="61"/>
      <c r="S1900" s="61"/>
      <c r="T1900" s="61"/>
      <c r="U1900" s="61"/>
      <c r="V1900" s="61"/>
      <c r="W1900" s="61"/>
      <c r="X1900" s="61"/>
      <c r="Y1900" s="61"/>
      <c r="Z1900" s="61"/>
      <c r="AA1900" s="61"/>
      <c r="AB1900" s="61"/>
      <c r="AC1900" s="61"/>
    </row>
    <row r="1901" ht="15.75" customHeight="1">
      <c r="A1901" s="61"/>
      <c r="B1901" s="61"/>
      <c r="C1901" s="61"/>
      <c r="D1901" s="61"/>
      <c r="E1901" s="61"/>
      <c r="F1901" s="61"/>
      <c r="G1901" s="61"/>
      <c r="H1901" s="61"/>
      <c r="I1901" s="61"/>
      <c r="J1901" s="61"/>
      <c r="K1901" s="61"/>
      <c r="L1901" s="61"/>
      <c r="M1901" s="61"/>
      <c r="N1901" s="61"/>
      <c r="O1901" s="61"/>
      <c r="P1901" s="61"/>
      <c r="Q1901" s="61"/>
      <c r="R1901" s="61"/>
      <c r="S1901" s="61"/>
      <c r="T1901" s="61"/>
      <c r="U1901" s="61"/>
      <c r="V1901" s="61"/>
      <c r="W1901" s="61"/>
      <c r="X1901" s="61"/>
      <c r="Y1901" s="61"/>
      <c r="Z1901" s="61"/>
      <c r="AA1901" s="61"/>
      <c r="AB1901" s="61"/>
      <c r="AC1901" s="61"/>
    </row>
    <row r="1902" ht="15.75" customHeight="1">
      <c r="A1902" s="61"/>
      <c r="B1902" s="61"/>
      <c r="C1902" s="61"/>
      <c r="D1902" s="61"/>
      <c r="E1902" s="61"/>
      <c r="F1902" s="61"/>
      <c r="G1902" s="61"/>
      <c r="H1902" s="61"/>
      <c r="I1902" s="61"/>
      <c r="J1902" s="61"/>
      <c r="K1902" s="61"/>
      <c r="L1902" s="61"/>
      <c r="M1902" s="61"/>
      <c r="N1902" s="61"/>
      <c r="O1902" s="61"/>
      <c r="P1902" s="61"/>
      <c r="Q1902" s="61"/>
      <c r="R1902" s="61"/>
      <c r="S1902" s="61"/>
      <c r="T1902" s="61"/>
      <c r="U1902" s="61"/>
      <c r="V1902" s="61"/>
      <c r="W1902" s="61"/>
      <c r="X1902" s="61"/>
      <c r="Y1902" s="61"/>
      <c r="Z1902" s="61"/>
      <c r="AA1902" s="61"/>
      <c r="AB1902" s="61"/>
      <c r="AC1902" s="61"/>
    </row>
    <row r="1903" ht="15.75" customHeight="1">
      <c r="A1903" s="61"/>
      <c r="B1903" s="61"/>
      <c r="C1903" s="61"/>
      <c r="D1903" s="61"/>
      <c r="E1903" s="61"/>
      <c r="F1903" s="61"/>
      <c r="G1903" s="61"/>
      <c r="H1903" s="61"/>
      <c r="I1903" s="61"/>
      <c r="J1903" s="61"/>
      <c r="K1903" s="61"/>
      <c r="L1903" s="61"/>
      <c r="M1903" s="61"/>
      <c r="N1903" s="61"/>
      <c r="O1903" s="61"/>
      <c r="P1903" s="61"/>
      <c r="Q1903" s="61"/>
      <c r="R1903" s="61"/>
      <c r="S1903" s="61"/>
      <c r="T1903" s="61"/>
      <c r="U1903" s="61"/>
      <c r="V1903" s="61"/>
      <c r="W1903" s="61"/>
      <c r="X1903" s="61"/>
      <c r="Y1903" s="61"/>
      <c r="Z1903" s="61"/>
      <c r="AA1903" s="61"/>
      <c r="AB1903" s="61"/>
      <c r="AC1903" s="61"/>
    </row>
    <row r="1904" ht="15.75" customHeight="1">
      <c r="A1904" s="61"/>
      <c r="B1904" s="61"/>
      <c r="C1904" s="61"/>
      <c r="D1904" s="61"/>
      <c r="E1904" s="61"/>
      <c r="F1904" s="61"/>
      <c r="G1904" s="61"/>
      <c r="H1904" s="61"/>
      <c r="I1904" s="61"/>
      <c r="J1904" s="61"/>
      <c r="K1904" s="61"/>
      <c r="L1904" s="61"/>
      <c r="M1904" s="61"/>
      <c r="N1904" s="61"/>
      <c r="O1904" s="61"/>
      <c r="P1904" s="61"/>
      <c r="Q1904" s="61"/>
      <c r="R1904" s="61"/>
      <c r="S1904" s="61"/>
      <c r="T1904" s="61"/>
      <c r="U1904" s="61"/>
      <c r="V1904" s="61"/>
      <c r="W1904" s="61"/>
      <c r="X1904" s="61"/>
      <c r="Y1904" s="61"/>
      <c r="Z1904" s="61"/>
      <c r="AA1904" s="61"/>
      <c r="AB1904" s="61"/>
      <c r="AC1904" s="61"/>
    </row>
    <row r="1905" ht="15.75" customHeight="1">
      <c r="A1905" s="61"/>
      <c r="B1905" s="61"/>
      <c r="C1905" s="61"/>
      <c r="D1905" s="61"/>
      <c r="E1905" s="61"/>
      <c r="F1905" s="61"/>
      <c r="G1905" s="61"/>
      <c r="H1905" s="61"/>
      <c r="I1905" s="61"/>
      <c r="J1905" s="61"/>
      <c r="K1905" s="61"/>
      <c r="L1905" s="61"/>
      <c r="M1905" s="61"/>
      <c r="N1905" s="61"/>
      <c r="O1905" s="61"/>
      <c r="P1905" s="61"/>
      <c r="Q1905" s="61"/>
      <c r="R1905" s="61"/>
      <c r="S1905" s="61"/>
      <c r="T1905" s="61"/>
      <c r="U1905" s="61"/>
      <c r="V1905" s="61"/>
      <c r="W1905" s="61"/>
      <c r="X1905" s="61"/>
      <c r="Y1905" s="61"/>
      <c r="Z1905" s="61"/>
      <c r="AA1905" s="61"/>
      <c r="AB1905" s="61"/>
      <c r="AC1905" s="61"/>
    </row>
    <row r="1906" ht="15.75" customHeight="1">
      <c r="A1906" s="61"/>
      <c r="B1906" s="61"/>
      <c r="C1906" s="61"/>
      <c r="D1906" s="61"/>
      <c r="E1906" s="61"/>
      <c r="F1906" s="61"/>
      <c r="G1906" s="61"/>
      <c r="H1906" s="61"/>
      <c r="I1906" s="61"/>
      <c r="J1906" s="61"/>
      <c r="K1906" s="61"/>
      <c r="L1906" s="61"/>
      <c r="M1906" s="61"/>
      <c r="N1906" s="61"/>
      <c r="O1906" s="61"/>
      <c r="P1906" s="61"/>
      <c r="Q1906" s="61"/>
      <c r="R1906" s="61"/>
      <c r="S1906" s="61"/>
      <c r="T1906" s="61"/>
      <c r="U1906" s="61"/>
      <c r="V1906" s="61"/>
      <c r="W1906" s="61"/>
      <c r="X1906" s="61"/>
      <c r="Y1906" s="61"/>
      <c r="Z1906" s="61"/>
      <c r="AA1906" s="61"/>
      <c r="AB1906" s="61"/>
      <c r="AC1906" s="61"/>
    </row>
    <row r="1907" ht="15.75" customHeight="1">
      <c r="A1907" s="61"/>
      <c r="B1907" s="61"/>
      <c r="C1907" s="61"/>
      <c r="D1907" s="61"/>
      <c r="E1907" s="61"/>
      <c r="F1907" s="61"/>
      <c r="G1907" s="61"/>
      <c r="H1907" s="61"/>
      <c r="I1907" s="61"/>
      <c r="J1907" s="61"/>
      <c r="K1907" s="61"/>
      <c r="L1907" s="61"/>
      <c r="M1907" s="61"/>
      <c r="N1907" s="61"/>
      <c r="O1907" s="61"/>
      <c r="P1907" s="61"/>
      <c r="Q1907" s="61"/>
      <c r="R1907" s="61"/>
      <c r="S1907" s="61"/>
      <c r="T1907" s="61"/>
      <c r="U1907" s="61"/>
      <c r="V1907" s="61"/>
      <c r="W1907" s="61"/>
      <c r="X1907" s="61"/>
      <c r="Y1907" s="61"/>
      <c r="Z1907" s="61"/>
      <c r="AA1907" s="61"/>
      <c r="AB1907" s="61"/>
      <c r="AC1907" s="61"/>
    </row>
    <row r="1908" ht="15.75" customHeight="1">
      <c r="A1908" s="61"/>
      <c r="B1908" s="61"/>
      <c r="C1908" s="61"/>
      <c r="D1908" s="61"/>
      <c r="E1908" s="61"/>
      <c r="F1908" s="61"/>
      <c r="G1908" s="61"/>
      <c r="H1908" s="61"/>
      <c r="I1908" s="61"/>
      <c r="J1908" s="61"/>
      <c r="K1908" s="61"/>
      <c r="L1908" s="61"/>
      <c r="M1908" s="61"/>
      <c r="N1908" s="61"/>
      <c r="O1908" s="61"/>
      <c r="P1908" s="61"/>
      <c r="Q1908" s="61"/>
      <c r="R1908" s="61"/>
      <c r="S1908" s="61"/>
      <c r="T1908" s="61"/>
      <c r="U1908" s="61"/>
      <c r="V1908" s="61"/>
      <c r="W1908" s="61"/>
      <c r="X1908" s="61"/>
      <c r="Y1908" s="61"/>
      <c r="Z1908" s="61"/>
      <c r="AA1908" s="61"/>
      <c r="AB1908" s="61"/>
      <c r="AC1908" s="61"/>
    </row>
    <row r="1909" ht="15.75" customHeight="1">
      <c r="A1909" s="61"/>
      <c r="B1909" s="61"/>
      <c r="C1909" s="61"/>
      <c r="D1909" s="61"/>
      <c r="E1909" s="61"/>
      <c r="F1909" s="61"/>
      <c r="G1909" s="61"/>
      <c r="H1909" s="61"/>
      <c r="I1909" s="61"/>
      <c r="J1909" s="61"/>
      <c r="K1909" s="61"/>
      <c r="L1909" s="61"/>
      <c r="M1909" s="61"/>
      <c r="N1909" s="61"/>
      <c r="O1909" s="61"/>
      <c r="P1909" s="61"/>
      <c r="Q1909" s="61"/>
      <c r="R1909" s="61"/>
      <c r="S1909" s="61"/>
      <c r="T1909" s="61"/>
      <c r="U1909" s="61"/>
      <c r="V1909" s="61"/>
      <c r="W1909" s="61"/>
      <c r="X1909" s="61"/>
      <c r="Y1909" s="61"/>
      <c r="Z1909" s="61"/>
      <c r="AA1909" s="61"/>
      <c r="AB1909" s="61"/>
      <c r="AC1909" s="61"/>
    </row>
    <row r="1910" ht="15.75" customHeight="1">
      <c r="A1910" s="61"/>
      <c r="B1910" s="61"/>
      <c r="C1910" s="61"/>
      <c r="D1910" s="61"/>
      <c r="E1910" s="61"/>
      <c r="F1910" s="61"/>
      <c r="G1910" s="61"/>
      <c r="H1910" s="61"/>
      <c r="I1910" s="61"/>
      <c r="J1910" s="61"/>
      <c r="K1910" s="61"/>
      <c r="L1910" s="61"/>
      <c r="M1910" s="61"/>
      <c r="N1910" s="61"/>
      <c r="O1910" s="61"/>
      <c r="P1910" s="61"/>
      <c r="Q1910" s="61"/>
      <c r="R1910" s="61"/>
      <c r="S1910" s="61"/>
      <c r="T1910" s="61"/>
      <c r="U1910" s="61"/>
      <c r="V1910" s="61"/>
      <c r="W1910" s="61"/>
      <c r="X1910" s="61"/>
      <c r="Y1910" s="61"/>
      <c r="Z1910" s="61"/>
      <c r="AA1910" s="61"/>
      <c r="AB1910" s="61"/>
      <c r="AC1910" s="61"/>
    </row>
    <row r="1911" ht="15.75" customHeight="1">
      <c r="A1911" s="61"/>
      <c r="B1911" s="61"/>
      <c r="C1911" s="61"/>
      <c r="D1911" s="61"/>
      <c r="E1911" s="61"/>
      <c r="F1911" s="61"/>
      <c r="G1911" s="61"/>
      <c r="H1911" s="61"/>
      <c r="I1911" s="61"/>
      <c r="J1911" s="61"/>
      <c r="K1911" s="61"/>
      <c r="L1911" s="61"/>
      <c r="M1911" s="61"/>
      <c r="N1911" s="61"/>
      <c r="O1911" s="61"/>
      <c r="P1911" s="61"/>
      <c r="Q1911" s="61"/>
      <c r="R1911" s="61"/>
      <c r="S1911" s="61"/>
      <c r="T1911" s="61"/>
      <c r="U1911" s="61"/>
      <c r="V1911" s="61"/>
      <c r="W1911" s="61"/>
      <c r="X1911" s="61"/>
      <c r="Y1911" s="61"/>
      <c r="Z1911" s="61"/>
      <c r="AA1911" s="61"/>
      <c r="AB1911" s="61"/>
      <c r="AC1911" s="61"/>
    </row>
    <row r="1912" ht="15.75" customHeight="1">
      <c r="A1912" s="61"/>
      <c r="B1912" s="61"/>
      <c r="C1912" s="61"/>
      <c r="D1912" s="61"/>
      <c r="E1912" s="61"/>
      <c r="F1912" s="61"/>
      <c r="G1912" s="61"/>
      <c r="H1912" s="61"/>
      <c r="I1912" s="61"/>
      <c r="J1912" s="61"/>
      <c r="K1912" s="61"/>
      <c r="L1912" s="61"/>
      <c r="M1912" s="61"/>
      <c r="N1912" s="61"/>
      <c r="O1912" s="61"/>
      <c r="P1912" s="61"/>
      <c r="Q1912" s="61"/>
      <c r="R1912" s="61"/>
      <c r="S1912" s="61"/>
      <c r="T1912" s="61"/>
      <c r="U1912" s="61"/>
      <c r="V1912" s="61"/>
      <c r="W1912" s="61"/>
      <c r="X1912" s="61"/>
      <c r="Y1912" s="61"/>
      <c r="Z1912" s="61"/>
      <c r="AA1912" s="61"/>
      <c r="AB1912" s="61"/>
      <c r="AC1912" s="61"/>
    </row>
    <row r="1913" ht="15.75" customHeight="1">
      <c r="A1913" s="61"/>
      <c r="B1913" s="61"/>
      <c r="C1913" s="61"/>
      <c r="D1913" s="61"/>
      <c r="E1913" s="61"/>
      <c r="F1913" s="61"/>
      <c r="G1913" s="61"/>
      <c r="H1913" s="61"/>
      <c r="I1913" s="61"/>
      <c r="J1913" s="61"/>
      <c r="K1913" s="61"/>
      <c r="L1913" s="61"/>
      <c r="M1913" s="61"/>
      <c r="N1913" s="61"/>
      <c r="O1913" s="61"/>
      <c r="P1913" s="61"/>
      <c r="Q1913" s="61"/>
      <c r="R1913" s="61"/>
      <c r="S1913" s="61"/>
      <c r="T1913" s="61"/>
      <c r="U1913" s="61"/>
      <c r="V1913" s="61"/>
      <c r="W1913" s="61"/>
      <c r="X1913" s="61"/>
      <c r="Y1913" s="61"/>
      <c r="Z1913" s="61"/>
      <c r="AA1913" s="61"/>
      <c r="AB1913" s="61"/>
      <c r="AC1913" s="61"/>
    </row>
    <row r="1914" ht="15.75" customHeight="1">
      <c r="A1914" s="61"/>
      <c r="B1914" s="61"/>
      <c r="C1914" s="61"/>
      <c r="D1914" s="61"/>
      <c r="E1914" s="61"/>
      <c r="F1914" s="61"/>
      <c r="G1914" s="61"/>
      <c r="H1914" s="61"/>
      <c r="I1914" s="61"/>
      <c r="J1914" s="61"/>
      <c r="K1914" s="61"/>
      <c r="L1914" s="61"/>
      <c r="M1914" s="61"/>
      <c r="N1914" s="61"/>
      <c r="O1914" s="61"/>
      <c r="P1914" s="61"/>
      <c r="Q1914" s="61"/>
      <c r="R1914" s="61"/>
      <c r="S1914" s="61"/>
      <c r="T1914" s="61"/>
      <c r="U1914" s="61"/>
      <c r="V1914" s="61"/>
      <c r="W1914" s="61"/>
      <c r="X1914" s="61"/>
      <c r="Y1914" s="61"/>
      <c r="Z1914" s="61"/>
      <c r="AA1914" s="61"/>
      <c r="AB1914" s="61"/>
      <c r="AC1914" s="61"/>
    </row>
    <row r="1915" ht="15.75" customHeight="1">
      <c r="A1915" s="61"/>
      <c r="B1915" s="61"/>
      <c r="C1915" s="61"/>
      <c r="D1915" s="61"/>
      <c r="E1915" s="61"/>
      <c r="F1915" s="61"/>
      <c r="G1915" s="61"/>
      <c r="H1915" s="61"/>
      <c r="I1915" s="61"/>
      <c r="J1915" s="61"/>
      <c r="K1915" s="61"/>
      <c r="L1915" s="61"/>
      <c r="M1915" s="61"/>
      <c r="N1915" s="61"/>
      <c r="O1915" s="61"/>
      <c r="P1915" s="61"/>
      <c r="Q1915" s="61"/>
      <c r="R1915" s="61"/>
      <c r="S1915" s="61"/>
      <c r="T1915" s="61"/>
      <c r="U1915" s="61"/>
      <c r="V1915" s="61"/>
      <c r="W1915" s="61"/>
      <c r="X1915" s="61"/>
      <c r="Y1915" s="61"/>
      <c r="Z1915" s="61"/>
      <c r="AA1915" s="61"/>
      <c r="AB1915" s="61"/>
      <c r="AC1915" s="61"/>
    </row>
    <row r="1916" ht="15.75" customHeight="1">
      <c r="A1916" s="61"/>
      <c r="B1916" s="61"/>
      <c r="C1916" s="61"/>
      <c r="D1916" s="61"/>
      <c r="E1916" s="61"/>
      <c r="F1916" s="61"/>
      <c r="G1916" s="61"/>
      <c r="H1916" s="61"/>
      <c r="I1916" s="61"/>
      <c r="J1916" s="61"/>
      <c r="K1916" s="61"/>
      <c r="L1916" s="61"/>
      <c r="M1916" s="61"/>
      <c r="N1916" s="61"/>
      <c r="O1916" s="61"/>
      <c r="P1916" s="61"/>
      <c r="Q1916" s="61"/>
      <c r="R1916" s="61"/>
      <c r="S1916" s="61"/>
      <c r="T1916" s="61"/>
      <c r="U1916" s="61"/>
      <c r="V1916" s="61"/>
      <c r="W1916" s="61"/>
      <c r="X1916" s="61"/>
      <c r="Y1916" s="61"/>
      <c r="Z1916" s="61"/>
      <c r="AA1916" s="61"/>
      <c r="AB1916" s="61"/>
      <c r="AC1916" s="61"/>
    </row>
    <row r="1917" ht="15.75" customHeight="1">
      <c r="A1917" s="61"/>
      <c r="B1917" s="61"/>
      <c r="C1917" s="61"/>
      <c r="D1917" s="61"/>
      <c r="E1917" s="61"/>
      <c r="F1917" s="61"/>
      <c r="G1917" s="61"/>
      <c r="H1917" s="61"/>
      <c r="I1917" s="61"/>
      <c r="J1917" s="61"/>
      <c r="K1917" s="61"/>
      <c r="L1917" s="61"/>
      <c r="M1917" s="61"/>
      <c r="N1917" s="61"/>
      <c r="O1917" s="61"/>
      <c r="P1917" s="61"/>
      <c r="Q1917" s="61"/>
      <c r="R1917" s="61"/>
      <c r="S1917" s="61"/>
      <c r="T1917" s="61"/>
      <c r="U1917" s="61"/>
      <c r="V1917" s="61"/>
      <c r="W1917" s="61"/>
      <c r="X1917" s="61"/>
      <c r="Y1917" s="61"/>
      <c r="Z1917" s="61"/>
      <c r="AA1917" s="61"/>
      <c r="AB1917" s="61"/>
      <c r="AC1917" s="61"/>
    </row>
    <row r="1918" ht="15.75" customHeight="1">
      <c r="A1918" s="61"/>
      <c r="B1918" s="61"/>
      <c r="C1918" s="61"/>
      <c r="D1918" s="61"/>
      <c r="E1918" s="61"/>
      <c r="F1918" s="61"/>
      <c r="G1918" s="61"/>
      <c r="H1918" s="61"/>
      <c r="I1918" s="61"/>
      <c r="J1918" s="61"/>
      <c r="K1918" s="61"/>
      <c r="L1918" s="61"/>
      <c r="M1918" s="61"/>
      <c r="N1918" s="61"/>
      <c r="O1918" s="61"/>
      <c r="P1918" s="61"/>
      <c r="Q1918" s="61"/>
      <c r="R1918" s="61"/>
      <c r="S1918" s="61"/>
      <c r="T1918" s="61"/>
      <c r="U1918" s="61"/>
      <c r="V1918" s="61"/>
      <c r="W1918" s="61"/>
      <c r="X1918" s="61"/>
      <c r="Y1918" s="61"/>
      <c r="Z1918" s="61"/>
      <c r="AA1918" s="61"/>
      <c r="AB1918" s="61"/>
      <c r="AC1918" s="61"/>
    </row>
    <row r="1919" ht="15.75" customHeight="1">
      <c r="A1919" s="61"/>
      <c r="B1919" s="61"/>
      <c r="C1919" s="61"/>
      <c r="D1919" s="61"/>
      <c r="E1919" s="61"/>
      <c r="F1919" s="61"/>
      <c r="G1919" s="61"/>
      <c r="H1919" s="61"/>
      <c r="I1919" s="61"/>
      <c r="J1919" s="61"/>
      <c r="K1919" s="61"/>
      <c r="L1919" s="61"/>
      <c r="M1919" s="61"/>
      <c r="N1919" s="61"/>
      <c r="O1919" s="61"/>
      <c r="P1919" s="61"/>
      <c r="Q1919" s="61"/>
      <c r="R1919" s="61"/>
      <c r="S1919" s="61"/>
      <c r="T1919" s="61"/>
      <c r="U1919" s="61"/>
      <c r="V1919" s="61"/>
      <c r="W1919" s="61"/>
      <c r="X1919" s="61"/>
      <c r="Y1919" s="61"/>
      <c r="Z1919" s="61"/>
      <c r="AA1919" s="61"/>
      <c r="AB1919" s="61"/>
      <c r="AC1919" s="61"/>
    </row>
    <row r="1920" ht="15.75" customHeight="1">
      <c r="A1920" s="61"/>
      <c r="B1920" s="61"/>
      <c r="C1920" s="61"/>
      <c r="D1920" s="61"/>
      <c r="E1920" s="61"/>
      <c r="F1920" s="61"/>
      <c r="G1920" s="61"/>
      <c r="H1920" s="61"/>
      <c r="I1920" s="61"/>
      <c r="J1920" s="61"/>
      <c r="K1920" s="61"/>
      <c r="L1920" s="61"/>
      <c r="M1920" s="61"/>
      <c r="N1920" s="61"/>
      <c r="O1920" s="61"/>
      <c r="P1920" s="61"/>
      <c r="Q1920" s="61"/>
      <c r="R1920" s="61"/>
      <c r="S1920" s="61"/>
      <c r="T1920" s="61"/>
      <c r="U1920" s="61"/>
      <c r="V1920" s="61"/>
      <c r="W1920" s="61"/>
      <c r="X1920" s="61"/>
      <c r="Y1920" s="61"/>
      <c r="Z1920" s="61"/>
      <c r="AA1920" s="61"/>
      <c r="AB1920" s="61"/>
      <c r="AC1920" s="61"/>
    </row>
    <row r="1921" ht="15.75" customHeight="1">
      <c r="A1921" s="61"/>
      <c r="B1921" s="61"/>
      <c r="C1921" s="61"/>
      <c r="D1921" s="61"/>
      <c r="E1921" s="61"/>
      <c r="F1921" s="61"/>
      <c r="G1921" s="61"/>
      <c r="H1921" s="61"/>
      <c r="I1921" s="61"/>
      <c r="J1921" s="61"/>
      <c r="K1921" s="61"/>
      <c r="L1921" s="61"/>
      <c r="M1921" s="61"/>
      <c r="N1921" s="61"/>
      <c r="O1921" s="61"/>
      <c r="P1921" s="61"/>
      <c r="Q1921" s="61"/>
      <c r="R1921" s="61"/>
      <c r="S1921" s="61"/>
      <c r="T1921" s="61"/>
      <c r="U1921" s="61"/>
      <c r="V1921" s="61"/>
      <c r="W1921" s="61"/>
      <c r="X1921" s="61"/>
      <c r="Y1921" s="61"/>
      <c r="Z1921" s="61"/>
      <c r="AA1921" s="61"/>
      <c r="AB1921" s="61"/>
      <c r="AC1921" s="61"/>
    </row>
    <row r="1922" ht="15.75" customHeight="1">
      <c r="A1922" s="61"/>
      <c r="B1922" s="61"/>
      <c r="C1922" s="61"/>
      <c r="D1922" s="61"/>
      <c r="E1922" s="61"/>
      <c r="F1922" s="61"/>
      <c r="G1922" s="61"/>
      <c r="H1922" s="61"/>
      <c r="I1922" s="61"/>
      <c r="J1922" s="61"/>
      <c r="K1922" s="61"/>
      <c r="L1922" s="61"/>
      <c r="M1922" s="61"/>
      <c r="N1922" s="61"/>
      <c r="O1922" s="61"/>
      <c r="P1922" s="61"/>
      <c r="Q1922" s="61"/>
      <c r="R1922" s="61"/>
      <c r="S1922" s="61"/>
      <c r="T1922" s="61"/>
      <c r="U1922" s="61"/>
      <c r="V1922" s="61"/>
      <c r="W1922" s="61"/>
      <c r="X1922" s="61"/>
      <c r="Y1922" s="61"/>
      <c r="Z1922" s="61"/>
      <c r="AA1922" s="61"/>
      <c r="AB1922" s="61"/>
      <c r="AC1922" s="61"/>
    </row>
    <row r="1923" ht="15.75" customHeight="1">
      <c r="A1923" s="61"/>
      <c r="B1923" s="61"/>
      <c r="C1923" s="61"/>
      <c r="D1923" s="61"/>
      <c r="E1923" s="61"/>
      <c r="F1923" s="61"/>
      <c r="G1923" s="61"/>
      <c r="H1923" s="61"/>
      <c r="I1923" s="61"/>
      <c r="J1923" s="61"/>
      <c r="K1923" s="61"/>
      <c r="L1923" s="61"/>
      <c r="M1923" s="61"/>
      <c r="N1923" s="61"/>
      <c r="O1923" s="61"/>
      <c r="P1923" s="61"/>
      <c r="Q1923" s="61"/>
      <c r="R1923" s="61"/>
      <c r="S1923" s="61"/>
      <c r="T1923" s="61"/>
      <c r="U1923" s="61"/>
      <c r="V1923" s="61"/>
      <c r="W1923" s="61"/>
      <c r="X1923" s="61"/>
      <c r="Y1923" s="61"/>
      <c r="Z1923" s="61"/>
      <c r="AA1923" s="61"/>
      <c r="AB1923" s="61"/>
      <c r="AC1923" s="61"/>
    </row>
    <row r="1924" ht="15.75" customHeight="1">
      <c r="A1924" s="61"/>
      <c r="B1924" s="61"/>
      <c r="C1924" s="61"/>
      <c r="D1924" s="61"/>
      <c r="E1924" s="61"/>
      <c r="F1924" s="61"/>
      <c r="G1924" s="61"/>
      <c r="H1924" s="61"/>
      <c r="I1924" s="61"/>
      <c r="J1924" s="61"/>
      <c r="K1924" s="61"/>
      <c r="L1924" s="61"/>
      <c r="M1924" s="61"/>
      <c r="N1924" s="61"/>
      <c r="O1924" s="61"/>
      <c r="P1924" s="61"/>
      <c r="Q1924" s="61"/>
      <c r="R1924" s="61"/>
      <c r="S1924" s="61"/>
      <c r="T1924" s="61"/>
      <c r="U1924" s="61"/>
      <c r="V1924" s="61"/>
      <c r="W1924" s="61"/>
      <c r="X1924" s="61"/>
      <c r="Y1924" s="61"/>
      <c r="Z1924" s="61"/>
      <c r="AA1924" s="61"/>
      <c r="AB1924" s="61"/>
      <c r="AC1924" s="61"/>
    </row>
    <row r="1925" ht="15.75" customHeight="1">
      <c r="A1925" s="61"/>
      <c r="B1925" s="61"/>
      <c r="C1925" s="61"/>
      <c r="D1925" s="61"/>
      <c r="E1925" s="61"/>
      <c r="F1925" s="61"/>
      <c r="G1925" s="61"/>
      <c r="H1925" s="61"/>
      <c r="I1925" s="61"/>
      <c r="J1925" s="61"/>
      <c r="K1925" s="61"/>
      <c r="L1925" s="61"/>
      <c r="M1925" s="61"/>
      <c r="N1925" s="61"/>
      <c r="O1925" s="61"/>
      <c r="P1925" s="61"/>
      <c r="Q1925" s="61"/>
      <c r="R1925" s="61"/>
      <c r="S1925" s="61"/>
      <c r="T1925" s="61"/>
      <c r="U1925" s="61"/>
      <c r="V1925" s="61"/>
      <c r="W1925" s="61"/>
      <c r="X1925" s="61"/>
      <c r="Y1925" s="61"/>
      <c r="Z1925" s="61"/>
      <c r="AA1925" s="61"/>
      <c r="AB1925" s="61"/>
      <c r="AC1925" s="61"/>
    </row>
    <row r="1926" ht="15.75" customHeight="1">
      <c r="A1926" s="61"/>
      <c r="B1926" s="61"/>
      <c r="C1926" s="61"/>
      <c r="D1926" s="61"/>
      <c r="E1926" s="61"/>
      <c r="F1926" s="61"/>
      <c r="G1926" s="61"/>
      <c r="H1926" s="61"/>
      <c r="I1926" s="61"/>
      <c r="J1926" s="61"/>
      <c r="K1926" s="61"/>
      <c r="L1926" s="61"/>
      <c r="M1926" s="61"/>
      <c r="N1926" s="61"/>
      <c r="O1926" s="61"/>
      <c r="P1926" s="61"/>
      <c r="Q1926" s="61"/>
      <c r="R1926" s="61"/>
      <c r="S1926" s="61"/>
      <c r="T1926" s="61"/>
      <c r="U1926" s="61"/>
      <c r="V1926" s="61"/>
      <c r="W1926" s="61"/>
      <c r="X1926" s="61"/>
      <c r="Y1926" s="61"/>
      <c r="Z1926" s="61"/>
      <c r="AA1926" s="61"/>
      <c r="AB1926" s="61"/>
      <c r="AC1926" s="61"/>
    </row>
    <row r="1927" ht="15.75" customHeight="1">
      <c r="A1927" s="61"/>
      <c r="B1927" s="61"/>
      <c r="C1927" s="61"/>
      <c r="D1927" s="61"/>
      <c r="E1927" s="61"/>
      <c r="F1927" s="61"/>
      <c r="G1927" s="61"/>
      <c r="H1927" s="61"/>
      <c r="I1927" s="61"/>
      <c r="J1927" s="61"/>
      <c r="K1927" s="61"/>
      <c r="L1927" s="61"/>
      <c r="M1927" s="61"/>
      <c r="N1927" s="61"/>
      <c r="O1927" s="61"/>
      <c r="P1927" s="61"/>
      <c r="Q1927" s="61"/>
      <c r="R1927" s="61"/>
      <c r="S1927" s="61"/>
      <c r="T1927" s="61"/>
      <c r="U1927" s="61"/>
      <c r="V1927" s="61"/>
      <c r="W1927" s="61"/>
      <c r="X1927" s="61"/>
      <c r="Y1927" s="61"/>
      <c r="Z1927" s="61"/>
      <c r="AA1927" s="61"/>
      <c r="AB1927" s="61"/>
      <c r="AC1927" s="61"/>
    </row>
    <row r="1928" ht="15.75" customHeight="1">
      <c r="A1928" s="61"/>
      <c r="B1928" s="61"/>
      <c r="C1928" s="61"/>
      <c r="D1928" s="61"/>
      <c r="E1928" s="61"/>
      <c r="F1928" s="61"/>
      <c r="G1928" s="61"/>
      <c r="H1928" s="61"/>
      <c r="I1928" s="61"/>
      <c r="J1928" s="61"/>
      <c r="K1928" s="61"/>
      <c r="L1928" s="61"/>
      <c r="M1928" s="61"/>
      <c r="N1928" s="61"/>
      <c r="O1928" s="61"/>
      <c r="P1928" s="61"/>
      <c r="Q1928" s="61"/>
      <c r="R1928" s="61"/>
      <c r="S1928" s="61"/>
      <c r="T1928" s="61"/>
      <c r="U1928" s="61"/>
      <c r="V1928" s="61"/>
      <c r="W1928" s="61"/>
      <c r="X1928" s="61"/>
      <c r="Y1928" s="61"/>
      <c r="Z1928" s="61"/>
      <c r="AA1928" s="61"/>
      <c r="AB1928" s="61"/>
      <c r="AC1928" s="61"/>
    </row>
    <row r="1929" ht="15.75" customHeight="1">
      <c r="A1929" s="61"/>
      <c r="B1929" s="61"/>
      <c r="C1929" s="61"/>
      <c r="D1929" s="61"/>
      <c r="E1929" s="61"/>
      <c r="F1929" s="61"/>
      <c r="G1929" s="61"/>
      <c r="H1929" s="61"/>
      <c r="I1929" s="61"/>
      <c r="J1929" s="61"/>
      <c r="K1929" s="61"/>
      <c r="L1929" s="61"/>
      <c r="M1929" s="61"/>
      <c r="N1929" s="61"/>
      <c r="O1929" s="61"/>
      <c r="P1929" s="61"/>
      <c r="Q1929" s="61"/>
      <c r="R1929" s="61"/>
      <c r="S1929" s="61"/>
      <c r="T1929" s="61"/>
      <c r="U1929" s="61"/>
      <c r="V1929" s="61"/>
      <c r="W1929" s="61"/>
      <c r="X1929" s="61"/>
      <c r="Y1929" s="61"/>
      <c r="Z1929" s="61"/>
      <c r="AA1929" s="61"/>
      <c r="AB1929" s="61"/>
      <c r="AC1929" s="61"/>
    </row>
    <row r="1930" ht="15.75" customHeight="1">
      <c r="A1930" s="61"/>
      <c r="B1930" s="61"/>
      <c r="C1930" s="61"/>
      <c r="D1930" s="61"/>
      <c r="E1930" s="61"/>
      <c r="F1930" s="61"/>
      <c r="G1930" s="61"/>
      <c r="H1930" s="61"/>
      <c r="I1930" s="61"/>
      <c r="J1930" s="61"/>
      <c r="K1930" s="61"/>
      <c r="L1930" s="61"/>
      <c r="M1930" s="61"/>
      <c r="N1930" s="61"/>
      <c r="O1930" s="61"/>
      <c r="P1930" s="61"/>
      <c r="Q1930" s="61"/>
      <c r="R1930" s="61"/>
      <c r="S1930" s="61"/>
      <c r="T1930" s="61"/>
      <c r="U1930" s="61"/>
      <c r="V1930" s="61"/>
      <c r="W1930" s="61"/>
      <c r="X1930" s="61"/>
      <c r="Y1930" s="61"/>
      <c r="Z1930" s="61"/>
      <c r="AA1930" s="61"/>
      <c r="AB1930" s="61"/>
      <c r="AC1930" s="61"/>
    </row>
    <row r="1931" ht="15.75" customHeight="1">
      <c r="A1931" s="61"/>
      <c r="B1931" s="61"/>
      <c r="C1931" s="61"/>
      <c r="D1931" s="61"/>
      <c r="E1931" s="61"/>
      <c r="F1931" s="61"/>
      <c r="G1931" s="61"/>
      <c r="H1931" s="61"/>
      <c r="I1931" s="61"/>
      <c r="J1931" s="61"/>
      <c r="K1931" s="61"/>
      <c r="L1931" s="61"/>
      <c r="M1931" s="61"/>
      <c r="N1931" s="61"/>
      <c r="O1931" s="61"/>
      <c r="P1931" s="61"/>
      <c r="Q1931" s="61"/>
      <c r="R1931" s="61"/>
      <c r="S1931" s="61"/>
      <c r="T1931" s="61"/>
      <c r="U1931" s="61"/>
      <c r="V1931" s="61"/>
      <c r="W1931" s="61"/>
      <c r="X1931" s="61"/>
      <c r="Y1931" s="61"/>
      <c r="Z1931" s="61"/>
      <c r="AA1931" s="61"/>
      <c r="AB1931" s="61"/>
      <c r="AC1931" s="61"/>
    </row>
    <row r="1932" ht="15.75" customHeight="1">
      <c r="A1932" s="61"/>
      <c r="B1932" s="61"/>
      <c r="C1932" s="61"/>
      <c r="D1932" s="61"/>
      <c r="E1932" s="61"/>
      <c r="F1932" s="61"/>
      <c r="G1932" s="61"/>
      <c r="H1932" s="61"/>
      <c r="I1932" s="61"/>
      <c r="J1932" s="61"/>
      <c r="K1932" s="61"/>
      <c r="L1932" s="61"/>
      <c r="M1932" s="61"/>
      <c r="N1932" s="61"/>
      <c r="O1932" s="61"/>
      <c r="P1932" s="61"/>
      <c r="Q1932" s="61"/>
      <c r="R1932" s="61"/>
      <c r="S1932" s="61"/>
      <c r="T1932" s="61"/>
      <c r="U1932" s="61"/>
      <c r="V1932" s="61"/>
      <c r="W1932" s="61"/>
      <c r="X1932" s="61"/>
      <c r="Y1932" s="61"/>
      <c r="Z1932" s="61"/>
      <c r="AA1932" s="61"/>
      <c r="AB1932" s="61"/>
      <c r="AC1932" s="61"/>
    </row>
    <row r="1933" ht="15.75" customHeight="1">
      <c r="A1933" s="61"/>
      <c r="B1933" s="61"/>
      <c r="C1933" s="61"/>
      <c r="D1933" s="61"/>
      <c r="E1933" s="61"/>
      <c r="F1933" s="61"/>
      <c r="G1933" s="61"/>
      <c r="H1933" s="61"/>
      <c r="I1933" s="61"/>
      <c r="J1933" s="61"/>
      <c r="K1933" s="61"/>
      <c r="L1933" s="61"/>
      <c r="M1933" s="61"/>
      <c r="N1933" s="61"/>
      <c r="O1933" s="61"/>
      <c r="P1933" s="61"/>
      <c r="Q1933" s="61"/>
      <c r="R1933" s="61"/>
      <c r="S1933" s="61"/>
      <c r="T1933" s="61"/>
      <c r="U1933" s="61"/>
      <c r="V1933" s="61"/>
      <c r="W1933" s="61"/>
      <c r="X1933" s="61"/>
      <c r="Y1933" s="61"/>
      <c r="Z1933" s="61"/>
      <c r="AA1933" s="61"/>
      <c r="AB1933" s="61"/>
      <c r="AC1933" s="61"/>
    </row>
    <row r="1934" ht="15.75" customHeight="1">
      <c r="A1934" s="61"/>
      <c r="B1934" s="61"/>
      <c r="C1934" s="61"/>
      <c r="D1934" s="61"/>
      <c r="E1934" s="61"/>
      <c r="F1934" s="61"/>
      <c r="G1934" s="61"/>
      <c r="H1934" s="61"/>
      <c r="I1934" s="61"/>
      <c r="J1934" s="61"/>
      <c r="K1934" s="61"/>
      <c r="L1934" s="61"/>
      <c r="M1934" s="61"/>
      <c r="N1934" s="61"/>
      <c r="O1934" s="61"/>
      <c r="P1934" s="61"/>
      <c r="Q1934" s="61"/>
      <c r="R1934" s="61"/>
      <c r="S1934" s="61"/>
      <c r="T1934" s="61"/>
      <c r="U1934" s="61"/>
      <c r="V1934" s="61"/>
      <c r="W1934" s="61"/>
      <c r="X1934" s="61"/>
      <c r="Y1934" s="61"/>
      <c r="Z1934" s="61"/>
      <c r="AA1934" s="61"/>
      <c r="AB1934" s="61"/>
      <c r="AC1934" s="61"/>
    </row>
    <row r="1935" ht="15.75" customHeight="1">
      <c r="A1935" s="61"/>
      <c r="B1935" s="61"/>
      <c r="C1935" s="61"/>
      <c r="D1935" s="61"/>
      <c r="E1935" s="61"/>
      <c r="F1935" s="61"/>
      <c r="G1935" s="61"/>
      <c r="H1935" s="61"/>
      <c r="I1935" s="61"/>
      <c r="J1935" s="61"/>
      <c r="K1935" s="61"/>
      <c r="L1935" s="61"/>
      <c r="M1935" s="61"/>
      <c r="N1935" s="61"/>
      <c r="O1935" s="61"/>
      <c r="P1935" s="61"/>
      <c r="Q1935" s="61"/>
      <c r="R1935" s="61"/>
      <c r="S1935" s="61"/>
      <c r="T1935" s="61"/>
      <c r="U1935" s="61"/>
      <c r="V1935" s="61"/>
      <c r="W1935" s="61"/>
      <c r="X1935" s="61"/>
      <c r="Y1935" s="61"/>
      <c r="Z1935" s="61"/>
      <c r="AA1935" s="61"/>
      <c r="AB1935" s="61"/>
      <c r="AC1935" s="61"/>
    </row>
    <row r="1936" ht="15.75" customHeight="1">
      <c r="A1936" s="61"/>
      <c r="B1936" s="61"/>
      <c r="C1936" s="61"/>
      <c r="D1936" s="61"/>
      <c r="E1936" s="61"/>
      <c r="F1936" s="61"/>
      <c r="G1936" s="61"/>
      <c r="H1936" s="61"/>
      <c r="I1936" s="61"/>
      <c r="J1936" s="61"/>
      <c r="K1936" s="61"/>
      <c r="L1936" s="61"/>
      <c r="M1936" s="61"/>
      <c r="N1936" s="61"/>
      <c r="O1936" s="61"/>
      <c r="P1936" s="61"/>
      <c r="Q1936" s="61"/>
      <c r="R1936" s="61"/>
      <c r="S1936" s="61"/>
      <c r="T1936" s="61"/>
      <c r="U1936" s="61"/>
      <c r="V1936" s="61"/>
      <c r="W1936" s="61"/>
      <c r="X1936" s="61"/>
      <c r="Y1936" s="61"/>
      <c r="Z1936" s="61"/>
      <c r="AA1936" s="61"/>
      <c r="AB1936" s="61"/>
      <c r="AC1936" s="61"/>
    </row>
    <row r="1937" ht="15.75" customHeight="1">
      <c r="A1937" s="61"/>
      <c r="B1937" s="61"/>
      <c r="C1937" s="61"/>
      <c r="D1937" s="61"/>
      <c r="E1937" s="61"/>
      <c r="F1937" s="61"/>
      <c r="G1937" s="61"/>
      <c r="H1937" s="61"/>
      <c r="I1937" s="61"/>
      <c r="J1937" s="61"/>
      <c r="K1937" s="61"/>
      <c r="L1937" s="61"/>
      <c r="M1937" s="61"/>
      <c r="N1937" s="61"/>
      <c r="O1937" s="61"/>
      <c r="P1937" s="61"/>
      <c r="Q1937" s="61"/>
      <c r="R1937" s="61"/>
      <c r="S1937" s="61"/>
      <c r="T1937" s="61"/>
      <c r="U1937" s="61"/>
      <c r="V1937" s="61"/>
      <c r="W1937" s="61"/>
      <c r="X1937" s="61"/>
      <c r="Y1937" s="61"/>
      <c r="Z1937" s="61"/>
      <c r="AA1937" s="61"/>
      <c r="AB1937" s="61"/>
      <c r="AC1937" s="61"/>
    </row>
    <row r="1938" ht="15.75" customHeight="1">
      <c r="A1938" s="61"/>
      <c r="B1938" s="61"/>
      <c r="C1938" s="61"/>
      <c r="D1938" s="61"/>
      <c r="E1938" s="61"/>
      <c r="F1938" s="61"/>
      <c r="G1938" s="61"/>
      <c r="H1938" s="61"/>
      <c r="I1938" s="61"/>
      <c r="J1938" s="61"/>
      <c r="K1938" s="61"/>
      <c r="L1938" s="61"/>
      <c r="M1938" s="61"/>
      <c r="N1938" s="61"/>
      <c r="O1938" s="61"/>
      <c r="P1938" s="61"/>
      <c r="Q1938" s="61"/>
      <c r="R1938" s="61"/>
      <c r="S1938" s="61"/>
      <c r="T1938" s="61"/>
      <c r="U1938" s="61"/>
      <c r="V1938" s="61"/>
      <c r="W1938" s="61"/>
      <c r="X1938" s="61"/>
      <c r="Y1938" s="61"/>
      <c r="Z1938" s="61"/>
      <c r="AA1938" s="61"/>
      <c r="AB1938" s="61"/>
      <c r="AC1938" s="61"/>
    </row>
    <row r="1939" ht="15.75" customHeight="1">
      <c r="A1939" s="61"/>
      <c r="B1939" s="61"/>
      <c r="C1939" s="61"/>
      <c r="D1939" s="61"/>
      <c r="E1939" s="61"/>
      <c r="F1939" s="61"/>
      <c r="G1939" s="61"/>
      <c r="H1939" s="61"/>
      <c r="I1939" s="61"/>
      <c r="J1939" s="61"/>
      <c r="K1939" s="61"/>
      <c r="L1939" s="61"/>
      <c r="M1939" s="61"/>
      <c r="N1939" s="61"/>
      <c r="O1939" s="61"/>
      <c r="P1939" s="61"/>
      <c r="Q1939" s="61"/>
      <c r="R1939" s="61"/>
      <c r="S1939" s="61"/>
      <c r="T1939" s="61"/>
      <c r="U1939" s="61"/>
      <c r="V1939" s="61"/>
      <c r="W1939" s="61"/>
      <c r="X1939" s="61"/>
      <c r="Y1939" s="61"/>
      <c r="Z1939" s="61"/>
      <c r="AA1939" s="61"/>
      <c r="AB1939" s="61"/>
      <c r="AC1939" s="61"/>
    </row>
    <row r="1940" ht="15.75" customHeight="1">
      <c r="A1940" s="61"/>
      <c r="B1940" s="61"/>
      <c r="C1940" s="61"/>
      <c r="D1940" s="61"/>
      <c r="E1940" s="61"/>
      <c r="F1940" s="61"/>
      <c r="G1940" s="61"/>
      <c r="H1940" s="61"/>
      <c r="I1940" s="61"/>
      <c r="J1940" s="61"/>
      <c r="K1940" s="61"/>
      <c r="L1940" s="61"/>
      <c r="M1940" s="61"/>
      <c r="N1940" s="61"/>
      <c r="O1940" s="61"/>
      <c r="P1940" s="61"/>
      <c r="Q1940" s="61"/>
      <c r="R1940" s="61"/>
      <c r="S1940" s="61"/>
      <c r="T1940" s="61"/>
      <c r="U1940" s="61"/>
      <c r="V1940" s="61"/>
      <c r="W1940" s="61"/>
      <c r="X1940" s="61"/>
      <c r="Y1940" s="61"/>
      <c r="Z1940" s="61"/>
      <c r="AA1940" s="61"/>
      <c r="AB1940" s="61"/>
      <c r="AC1940" s="61"/>
    </row>
    <row r="1941" ht="15.75" customHeight="1">
      <c r="A1941" s="61"/>
      <c r="B1941" s="61"/>
      <c r="C1941" s="61"/>
      <c r="D1941" s="61"/>
      <c r="E1941" s="61"/>
      <c r="F1941" s="61"/>
      <c r="G1941" s="61"/>
      <c r="H1941" s="61"/>
      <c r="I1941" s="61"/>
      <c r="J1941" s="61"/>
      <c r="K1941" s="61"/>
      <c r="L1941" s="61"/>
      <c r="M1941" s="61"/>
      <c r="N1941" s="61"/>
      <c r="O1941" s="61"/>
      <c r="P1941" s="61"/>
      <c r="Q1941" s="61"/>
      <c r="R1941" s="61"/>
      <c r="S1941" s="61"/>
      <c r="T1941" s="61"/>
      <c r="U1941" s="61"/>
      <c r="V1941" s="61"/>
      <c r="W1941" s="61"/>
      <c r="X1941" s="61"/>
      <c r="Y1941" s="61"/>
      <c r="Z1941" s="61"/>
      <c r="AA1941" s="61"/>
      <c r="AB1941" s="61"/>
      <c r="AC1941" s="61"/>
    </row>
    <row r="1942" ht="15.75" customHeight="1">
      <c r="A1942" s="61"/>
      <c r="B1942" s="61"/>
      <c r="C1942" s="61"/>
      <c r="D1942" s="61"/>
      <c r="E1942" s="61"/>
      <c r="F1942" s="61"/>
      <c r="G1942" s="61"/>
      <c r="H1942" s="61"/>
      <c r="I1942" s="61"/>
      <c r="J1942" s="61"/>
      <c r="K1942" s="61"/>
      <c r="L1942" s="61"/>
      <c r="M1942" s="61"/>
      <c r="N1942" s="61"/>
      <c r="O1942" s="61"/>
      <c r="P1942" s="61"/>
      <c r="Q1942" s="61"/>
      <c r="R1942" s="61"/>
      <c r="S1942" s="61"/>
      <c r="T1942" s="61"/>
      <c r="U1942" s="61"/>
      <c r="V1942" s="61"/>
      <c r="W1942" s="61"/>
      <c r="X1942" s="61"/>
      <c r="Y1942" s="61"/>
      <c r="Z1942" s="61"/>
      <c r="AA1942" s="61"/>
      <c r="AB1942" s="61"/>
      <c r="AC1942" s="61"/>
    </row>
    <row r="1943" ht="15.75" customHeight="1">
      <c r="A1943" s="61"/>
      <c r="B1943" s="61"/>
      <c r="C1943" s="61"/>
      <c r="D1943" s="61"/>
      <c r="E1943" s="61"/>
      <c r="F1943" s="61"/>
      <c r="G1943" s="61"/>
      <c r="H1943" s="61"/>
      <c r="I1943" s="61"/>
      <c r="J1943" s="61"/>
      <c r="K1943" s="61"/>
      <c r="L1943" s="61"/>
      <c r="M1943" s="61"/>
      <c r="N1943" s="61"/>
      <c r="O1943" s="61"/>
      <c r="P1943" s="61"/>
      <c r="Q1943" s="61"/>
      <c r="R1943" s="61"/>
      <c r="S1943" s="61"/>
      <c r="T1943" s="61"/>
      <c r="U1943" s="61"/>
      <c r="V1943" s="61"/>
      <c r="W1943" s="61"/>
      <c r="X1943" s="61"/>
      <c r="Y1943" s="61"/>
      <c r="Z1943" s="61"/>
      <c r="AA1943" s="61"/>
      <c r="AB1943" s="61"/>
      <c r="AC1943" s="61"/>
    </row>
    <row r="1944" ht="15.75" customHeight="1">
      <c r="A1944" s="61"/>
      <c r="B1944" s="61"/>
      <c r="C1944" s="61"/>
      <c r="D1944" s="61"/>
      <c r="E1944" s="61"/>
      <c r="F1944" s="61"/>
      <c r="G1944" s="61"/>
      <c r="H1944" s="61"/>
      <c r="I1944" s="61"/>
      <c r="J1944" s="61"/>
      <c r="K1944" s="61"/>
      <c r="L1944" s="61"/>
      <c r="M1944" s="61"/>
      <c r="N1944" s="61"/>
      <c r="O1944" s="61"/>
      <c r="P1944" s="61"/>
      <c r="Q1944" s="61"/>
      <c r="R1944" s="61"/>
      <c r="S1944" s="61"/>
      <c r="T1944" s="61"/>
      <c r="U1944" s="61"/>
      <c r="V1944" s="61"/>
      <c r="W1944" s="61"/>
      <c r="X1944" s="61"/>
      <c r="Y1944" s="61"/>
      <c r="Z1944" s="61"/>
      <c r="AA1944" s="61"/>
      <c r="AB1944" s="61"/>
      <c r="AC1944" s="61"/>
    </row>
    <row r="1945" ht="15.75" customHeight="1">
      <c r="A1945" s="61"/>
      <c r="B1945" s="61"/>
      <c r="C1945" s="61"/>
      <c r="D1945" s="61"/>
      <c r="E1945" s="61"/>
      <c r="F1945" s="61"/>
      <c r="G1945" s="61"/>
      <c r="H1945" s="61"/>
      <c r="I1945" s="61"/>
      <c r="J1945" s="61"/>
      <c r="K1945" s="61"/>
      <c r="L1945" s="61"/>
      <c r="M1945" s="61"/>
      <c r="N1945" s="61"/>
      <c r="O1945" s="61"/>
      <c r="P1945" s="61"/>
      <c r="Q1945" s="61"/>
      <c r="R1945" s="61"/>
      <c r="S1945" s="61"/>
      <c r="T1945" s="61"/>
      <c r="U1945" s="61"/>
      <c r="V1945" s="61"/>
      <c r="W1945" s="61"/>
      <c r="X1945" s="61"/>
      <c r="Y1945" s="61"/>
      <c r="Z1945" s="61"/>
      <c r="AA1945" s="61"/>
      <c r="AB1945" s="61"/>
      <c r="AC1945" s="61"/>
    </row>
    <row r="1946" ht="15.75" customHeight="1">
      <c r="A1946" s="61"/>
      <c r="B1946" s="61"/>
      <c r="C1946" s="61"/>
      <c r="D1946" s="61"/>
      <c r="E1946" s="61"/>
      <c r="F1946" s="61"/>
      <c r="G1946" s="61"/>
      <c r="H1946" s="61"/>
      <c r="I1946" s="61"/>
      <c r="J1946" s="61"/>
      <c r="K1946" s="61"/>
      <c r="L1946" s="61"/>
      <c r="M1946" s="61"/>
      <c r="N1946" s="61"/>
      <c r="O1946" s="61"/>
      <c r="P1946" s="61"/>
      <c r="Q1946" s="61"/>
      <c r="R1946" s="61"/>
      <c r="S1946" s="61"/>
      <c r="T1946" s="61"/>
      <c r="U1946" s="61"/>
      <c r="V1946" s="61"/>
      <c r="W1946" s="61"/>
      <c r="X1946" s="61"/>
      <c r="Y1946" s="61"/>
      <c r="Z1946" s="61"/>
      <c r="AA1946" s="61"/>
      <c r="AB1946" s="61"/>
      <c r="AC1946" s="61"/>
    </row>
    <row r="1947" ht="15.75" customHeight="1">
      <c r="A1947" s="61"/>
      <c r="B1947" s="61"/>
      <c r="C1947" s="61"/>
      <c r="D1947" s="61"/>
      <c r="E1947" s="61"/>
      <c r="F1947" s="61"/>
      <c r="G1947" s="61"/>
      <c r="H1947" s="61"/>
      <c r="I1947" s="61"/>
      <c r="J1947" s="61"/>
      <c r="K1947" s="61"/>
      <c r="L1947" s="61"/>
      <c r="M1947" s="61"/>
      <c r="N1947" s="61"/>
      <c r="O1947" s="61"/>
      <c r="P1947" s="61"/>
      <c r="Q1947" s="61"/>
      <c r="R1947" s="61"/>
      <c r="S1947" s="61"/>
      <c r="T1947" s="61"/>
      <c r="U1947" s="61"/>
      <c r="V1947" s="61"/>
      <c r="W1947" s="61"/>
      <c r="X1947" s="61"/>
      <c r="Y1947" s="61"/>
      <c r="Z1947" s="61"/>
      <c r="AA1947" s="61"/>
      <c r="AB1947" s="61"/>
      <c r="AC1947" s="61"/>
    </row>
    <row r="1948" ht="15.75" customHeight="1">
      <c r="A1948" s="61"/>
      <c r="B1948" s="61"/>
      <c r="C1948" s="61"/>
      <c r="D1948" s="61"/>
      <c r="E1948" s="61"/>
      <c r="F1948" s="61"/>
      <c r="G1948" s="61"/>
      <c r="H1948" s="61"/>
      <c r="I1948" s="61"/>
      <c r="J1948" s="61"/>
      <c r="K1948" s="61"/>
      <c r="L1948" s="61"/>
      <c r="M1948" s="61"/>
      <c r="N1948" s="61"/>
      <c r="O1948" s="61"/>
      <c r="P1948" s="61"/>
      <c r="Q1948" s="61"/>
      <c r="R1948" s="61"/>
      <c r="S1948" s="61"/>
      <c r="T1948" s="61"/>
      <c r="U1948" s="61"/>
      <c r="V1948" s="61"/>
      <c r="W1948" s="61"/>
      <c r="X1948" s="61"/>
      <c r="Y1948" s="61"/>
      <c r="Z1948" s="61"/>
      <c r="AA1948" s="61"/>
      <c r="AB1948" s="61"/>
      <c r="AC1948" s="61"/>
    </row>
    <row r="1949" ht="15.75" customHeight="1">
      <c r="A1949" s="61"/>
      <c r="B1949" s="61"/>
      <c r="C1949" s="61"/>
      <c r="D1949" s="61"/>
      <c r="E1949" s="61"/>
      <c r="F1949" s="61"/>
      <c r="G1949" s="61"/>
      <c r="H1949" s="61"/>
      <c r="I1949" s="61"/>
      <c r="J1949" s="61"/>
      <c r="K1949" s="61"/>
      <c r="L1949" s="61"/>
      <c r="M1949" s="61"/>
      <c r="N1949" s="61"/>
      <c r="O1949" s="61"/>
      <c r="P1949" s="61"/>
      <c r="Q1949" s="61"/>
      <c r="R1949" s="61"/>
      <c r="S1949" s="61"/>
      <c r="T1949" s="61"/>
      <c r="U1949" s="61"/>
      <c r="V1949" s="61"/>
      <c r="W1949" s="61"/>
      <c r="X1949" s="61"/>
      <c r="Y1949" s="61"/>
      <c r="Z1949" s="61"/>
      <c r="AA1949" s="61"/>
      <c r="AB1949" s="61"/>
      <c r="AC1949" s="61"/>
    </row>
    <row r="1950" ht="15.75" customHeight="1">
      <c r="A1950" s="61"/>
      <c r="B1950" s="61"/>
      <c r="C1950" s="61"/>
      <c r="D1950" s="61"/>
      <c r="E1950" s="61"/>
      <c r="F1950" s="61"/>
      <c r="G1950" s="61"/>
      <c r="H1950" s="61"/>
      <c r="I1950" s="61"/>
      <c r="J1950" s="61"/>
      <c r="K1950" s="61"/>
      <c r="L1950" s="61"/>
      <c r="M1950" s="61"/>
      <c r="N1950" s="61"/>
      <c r="O1950" s="61"/>
      <c r="P1950" s="61"/>
      <c r="Q1950" s="61"/>
      <c r="R1950" s="61"/>
      <c r="S1950" s="61"/>
      <c r="T1950" s="61"/>
      <c r="U1950" s="61"/>
      <c r="V1950" s="61"/>
      <c r="W1950" s="61"/>
      <c r="X1950" s="61"/>
      <c r="Y1950" s="61"/>
      <c r="Z1950" s="61"/>
      <c r="AA1950" s="61"/>
      <c r="AB1950" s="61"/>
      <c r="AC1950" s="61"/>
    </row>
    <row r="1951" ht="15.75" customHeight="1">
      <c r="A1951" s="61"/>
      <c r="B1951" s="61"/>
      <c r="C1951" s="61"/>
      <c r="D1951" s="61"/>
      <c r="E1951" s="61"/>
      <c r="F1951" s="61"/>
      <c r="G1951" s="61"/>
      <c r="H1951" s="61"/>
      <c r="I1951" s="61"/>
      <c r="J1951" s="61"/>
      <c r="K1951" s="61"/>
      <c r="L1951" s="61"/>
      <c r="M1951" s="61"/>
      <c r="N1951" s="61"/>
      <c r="O1951" s="61"/>
      <c r="P1951" s="61"/>
      <c r="Q1951" s="61"/>
      <c r="R1951" s="61"/>
      <c r="S1951" s="61"/>
      <c r="T1951" s="61"/>
      <c r="U1951" s="61"/>
      <c r="V1951" s="61"/>
      <c r="W1951" s="61"/>
      <c r="X1951" s="61"/>
      <c r="Y1951" s="61"/>
      <c r="Z1951" s="61"/>
      <c r="AA1951" s="61"/>
      <c r="AB1951" s="61"/>
      <c r="AC1951" s="61"/>
    </row>
    <row r="1952" ht="15.75" customHeight="1">
      <c r="A1952" s="61"/>
      <c r="B1952" s="61"/>
      <c r="C1952" s="61"/>
      <c r="D1952" s="61"/>
      <c r="E1952" s="61"/>
      <c r="F1952" s="61"/>
      <c r="G1952" s="61"/>
      <c r="H1952" s="61"/>
      <c r="I1952" s="61"/>
      <c r="J1952" s="61"/>
      <c r="K1952" s="61"/>
      <c r="L1952" s="61"/>
      <c r="M1952" s="61"/>
      <c r="N1952" s="61"/>
      <c r="O1952" s="61"/>
      <c r="P1952" s="61"/>
      <c r="Q1952" s="61"/>
      <c r="R1952" s="61"/>
      <c r="S1952" s="61"/>
      <c r="T1952" s="61"/>
      <c r="U1952" s="61"/>
      <c r="V1952" s="61"/>
      <c r="W1952" s="61"/>
      <c r="X1952" s="61"/>
      <c r="Y1952" s="61"/>
      <c r="Z1952" s="61"/>
      <c r="AA1952" s="61"/>
      <c r="AB1952" s="61"/>
      <c r="AC1952" s="61"/>
    </row>
    <row r="1953" ht="15.75" customHeight="1">
      <c r="A1953" s="61"/>
      <c r="B1953" s="61"/>
      <c r="C1953" s="61"/>
      <c r="D1953" s="61"/>
      <c r="E1953" s="61"/>
      <c r="F1953" s="61"/>
      <c r="G1953" s="61"/>
      <c r="H1953" s="61"/>
      <c r="I1953" s="61"/>
      <c r="J1953" s="61"/>
      <c r="K1953" s="61"/>
      <c r="L1953" s="61"/>
      <c r="M1953" s="61"/>
      <c r="N1953" s="61"/>
      <c r="O1953" s="61"/>
      <c r="P1953" s="61"/>
      <c r="Q1953" s="61"/>
      <c r="R1953" s="61"/>
      <c r="S1953" s="61"/>
      <c r="T1953" s="61"/>
      <c r="U1953" s="61"/>
      <c r="V1953" s="61"/>
      <c r="W1953" s="61"/>
      <c r="X1953" s="61"/>
      <c r="Y1953" s="61"/>
      <c r="Z1953" s="61"/>
      <c r="AA1953" s="61"/>
      <c r="AB1953" s="61"/>
      <c r="AC1953" s="61"/>
    </row>
    <row r="1954" ht="15.75" customHeight="1">
      <c r="A1954" s="61"/>
      <c r="B1954" s="61"/>
      <c r="C1954" s="61"/>
      <c r="D1954" s="61"/>
      <c r="E1954" s="61"/>
      <c r="F1954" s="61"/>
      <c r="G1954" s="61"/>
      <c r="H1954" s="61"/>
      <c r="I1954" s="61"/>
      <c r="J1954" s="61"/>
      <c r="K1954" s="61"/>
      <c r="L1954" s="61"/>
      <c r="M1954" s="61"/>
      <c r="N1954" s="61"/>
      <c r="O1954" s="61"/>
      <c r="P1954" s="61"/>
      <c r="Q1954" s="61"/>
      <c r="R1954" s="61"/>
      <c r="S1954" s="61"/>
      <c r="T1954" s="61"/>
      <c r="U1954" s="61"/>
      <c r="V1954" s="61"/>
      <c r="W1954" s="61"/>
      <c r="X1954" s="61"/>
      <c r="Y1954" s="61"/>
      <c r="Z1954" s="61"/>
      <c r="AA1954" s="61"/>
      <c r="AB1954" s="61"/>
      <c r="AC1954" s="61"/>
    </row>
    <row r="1955" ht="15.75" customHeight="1">
      <c r="A1955" s="61"/>
      <c r="B1955" s="61"/>
      <c r="C1955" s="61"/>
      <c r="D1955" s="61"/>
      <c r="E1955" s="61"/>
      <c r="F1955" s="61"/>
      <c r="G1955" s="61"/>
      <c r="H1955" s="61"/>
      <c r="I1955" s="61"/>
      <c r="J1955" s="61"/>
      <c r="K1955" s="61"/>
      <c r="L1955" s="61"/>
      <c r="M1955" s="61"/>
      <c r="N1955" s="61"/>
      <c r="O1955" s="61"/>
      <c r="P1955" s="61"/>
      <c r="Q1955" s="61"/>
      <c r="R1955" s="61"/>
      <c r="S1955" s="61"/>
      <c r="T1955" s="61"/>
      <c r="U1955" s="61"/>
      <c r="V1955" s="61"/>
      <c r="W1955" s="61"/>
      <c r="X1955" s="61"/>
      <c r="Y1955" s="61"/>
      <c r="Z1955" s="61"/>
      <c r="AA1955" s="61"/>
      <c r="AB1955" s="61"/>
      <c r="AC1955" s="61"/>
    </row>
    <row r="1956" ht="15.75" customHeight="1">
      <c r="A1956" s="61"/>
      <c r="B1956" s="61"/>
      <c r="C1956" s="61"/>
      <c r="D1956" s="61"/>
      <c r="E1956" s="61"/>
      <c r="F1956" s="61"/>
      <c r="G1956" s="61"/>
      <c r="H1956" s="61"/>
      <c r="I1956" s="61"/>
      <c r="J1956" s="61"/>
      <c r="K1956" s="61"/>
      <c r="L1956" s="61"/>
      <c r="M1956" s="61"/>
      <c r="N1956" s="61"/>
      <c r="O1956" s="61"/>
      <c r="P1956" s="61"/>
      <c r="Q1956" s="61"/>
      <c r="R1956" s="61"/>
      <c r="S1956" s="61"/>
      <c r="T1956" s="61"/>
      <c r="U1956" s="61"/>
      <c r="V1956" s="61"/>
      <c r="W1956" s="61"/>
      <c r="X1956" s="61"/>
      <c r="Y1956" s="61"/>
      <c r="Z1956" s="61"/>
      <c r="AA1956" s="61"/>
      <c r="AB1956" s="61"/>
      <c r="AC1956" s="61"/>
    </row>
    <row r="1957" ht="15.75" customHeight="1">
      <c r="A1957" s="61"/>
      <c r="B1957" s="61"/>
      <c r="C1957" s="61"/>
      <c r="D1957" s="61"/>
      <c r="E1957" s="61"/>
      <c r="F1957" s="61"/>
      <c r="G1957" s="61"/>
      <c r="H1957" s="61"/>
      <c r="I1957" s="61"/>
      <c r="J1957" s="61"/>
      <c r="K1957" s="61"/>
      <c r="L1957" s="61"/>
      <c r="M1957" s="61"/>
      <c r="N1957" s="61"/>
      <c r="O1957" s="61"/>
      <c r="P1957" s="61"/>
      <c r="Q1957" s="61"/>
      <c r="R1957" s="61"/>
      <c r="S1957" s="61"/>
      <c r="T1957" s="61"/>
      <c r="U1957" s="61"/>
      <c r="V1957" s="61"/>
      <c r="W1957" s="61"/>
      <c r="X1957" s="61"/>
      <c r="Y1957" s="61"/>
      <c r="Z1957" s="61"/>
      <c r="AA1957" s="61"/>
      <c r="AB1957" s="61"/>
      <c r="AC1957" s="61"/>
    </row>
    <row r="1958" ht="15.75" customHeight="1">
      <c r="A1958" s="61"/>
      <c r="B1958" s="61"/>
      <c r="C1958" s="61"/>
      <c r="D1958" s="61"/>
      <c r="E1958" s="61"/>
      <c r="F1958" s="61"/>
      <c r="G1958" s="61"/>
      <c r="H1958" s="61"/>
      <c r="I1958" s="61"/>
      <c r="J1958" s="61"/>
      <c r="K1958" s="61"/>
      <c r="L1958" s="61"/>
      <c r="M1958" s="61"/>
      <c r="N1958" s="61"/>
      <c r="O1958" s="61"/>
      <c r="P1958" s="61"/>
      <c r="Q1958" s="61"/>
      <c r="R1958" s="61"/>
      <c r="S1958" s="61"/>
      <c r="T1958" s="61"/>
      <c r="U1958" s="61"/>
      <c r="V1958" s="61"/>
      <c r="W1958" s="61"/>
      <c r="X1958" s="61"/>
      <c r="Y1958" s="61"/>
      <c r="Z1958" s="61"/>
      <c r="AA1958" s="61"/>
      <c r="AB1958" s="61"/>
      <c r="AC1958" s="61"/>
    </row>
    <row r="1959" ht="15.75" customHeight="1">
      <c r="A1959" s="61"/>
      <c r="B1959" s="61"/>
      <c r="C1959" s="61"/>
      <c r="D1959" s="61"/>
      <c r="E1959" s="61"/>
      <c r="F1959" s="61"/>
      <c r="G1959" s="61"/>
      <c r="H1959" s="61"/>
      <c r="I1959" s="61"/>
      <c r="J1959" s="61"/>
      <c r="K1959" s="61"/>
      <c r="L1959" s="61"/>
      <c r="M1959" s="61"/>
      <c r="N1959" s="61"/>
      <c r="O1959" s="61"/>
      <c r="P1959" s="61"/>
      <c r="Q1959" s="61"/>
      <c r="R1959" s="61"/>
      <c r="S1959" s="61"/>
      <c r="T1959" s="61"/>
      <c r="U1959" s="61"/>
      <c r="V1959" s="61"/>
      <c r="W1959" s="61"/>
      <c r="X1959" s="61"/>
      <c r="Y1959" s="61"/>
      <c r="Z1959" s="61"/>
      <c r="AA1959" s="61"/>
      <c r="AB1959" s="61"/>
      <c r="AC1959" s="61"/>
    </row>
    <row r="1960" ht="15.75" customHeight="1">
      <c r="A1960" s="61"/>
      <c r="B1960" s="61"/>
      <c r="C1960" s="61"/>
      <c r="D1960" s="61"/>
      <c r="E1960" s="61"/>
      <c r="F1960" s="61"/>
      <c r="G1960" s="61"/>
      <c r="H1960" s="61"/>
      <c r="I1960" s="61"/>
      <c r="J1960" s="61"/>
      <c r="K1960" s="61"/>
      <c r="L1960" s="61"/>
      <c r="M1960" s="61"/>
      <c r="N1960" s="61"/>
      <c r="O1960" s="61"/>
      <c r="P1960" s="61"/>
      <c r="Q1960" s="61"/>
      <c r="R1960" s="61"/>
      <c r="S1960" s="61"/>
      <c r="T1960" s="61"/>
      <c r="U1960" s="61"/>
      <c r="V1960" s="61"/>
      <c r="W1960" s="61"/>
      <c r="X1960" s="61"/>
      <c r="Y1960" s="61"/>
      <c r="Z1960" s="61"/>
      <c r="AA1960" s="61"/>
      <c r="AB1960" s="61"/>
      <c r="AC1960" s="61"/>
    </row>
    <row r="1961" ht="15.75" customHeight="1">
      <c r="A1961" s="61"/>
      <c r="B1961" s="61"/>
      <c r="C1961" s="61"/>
      <c r="D1961" s="61"/>
      <c r="E1961" s="61"/>
      <c r="F1961" s="61"/>
      <c r="G1961" s="61"/>
      <c r="H1961" s="61"/>
      <c r="I1961" s="61"/>
      <c r="J1961" s="61"/>
      <c r="K1961" s="61"/>
      <c r="L1961" s="61"/>
      <c r="M1961" s="61"/>
      <c r="N1961" s="61"/>
      <c r="O1961" s="61"/>
      <c r="P1961" s="61"/>
      <c r="Q1961" s="61"/>
      <c r="R1961" s="61"/>
      <c r="S1961" s="61"/>
      <c r="T1961" s="61"/>
      <c r="U1961" s="61"/>
      <c r="V1961" s="61"/>
      <c r="W1961" s="61"/>
      <c r="X1961" s="61"/>
      <c r="Y1961" s="61"/>
      <c r="Z1961" s="61"/>
      <c r="AA1961" s="61"/>
      <c r="AB1961" s="61"/>
      <c r="AC1961" s="61"/>
    </row>
    <row r="1962" ht="15.75" customHeight="1">
      <c r="A1962" s="61"/>
      <c r="B1962" s="61"/>
      <c r="C1962" s="61"/>
      <c r="D1962" s="61"/>
      <c r="E1962" s="61"/>
      <c r="F1962" s="61"/>
      <c r="G1962" s="61"/>
      <c r="H1962" s="61"/>
      <c r="I1962" s="61"/>
      <c r="J1962" s="61"/>
      <c r="K1962" s="61"/>
      <c r="L1962" s="61"/>
      <c r="M1962" s="61"/>
      <c r="N1962" s="61"/>
      <c r="O1962" s="61"/>
      <c r="P1962" s="61"/>
      <c r="Q1962" s="61"/>
      <c r="R1962" s="61"/>
      <c r="S1962" s="61"/>
      <c r="T1962" s="61"/>
      <c r="U1962" s="61"/>
      <c r="V1962" s="61"/>
      <c r="W1962" s="61"/>
      <c r="X1962" s="61"/>
      <c r="Y1962" s="61"/>
      <c r="Z1962" s="61"/>
      <c r="AA1962" s="61"/>
      <c r="AB1962" s="61"/>
      <c r="AC1962" s="61"/>
    </row>
    <row r="1963" ht="15.75" customHeight="1">
      <c r="A1963" s="61"/>
      <c r="B1963" s="61"/>
      <c r="C1963" s="61"/>
      <c r="D1963" s="61"/>
      <c r="E1963" s="61"/>
      <c r="F1963" s="61"/>
      <c r="G1963" s="61"/>
      <c r="H1963" s="61"/>
      <c r="I1963" s="61"/>
      <c r="J1963" s="61"/>
      <c r="K1963" s="61"/>
      <c r="L1963" s="61"/>
      <c r="M1963" s="61"/>
      <c r="N1963" s="61"/>
      <c r="O1963" s="61"/>
      <c r="P1963" s="61"/>
      <c r="Q1963" s="61"/>
      <c r="R1963" s="61"/>
      <c r="S1963" s="61"/>
      <c r="T1963" s="61"/>
      <c r="U1963" s="61"/>
      <c r="V1963" s="61"/>
      <c r="W1963" s="61"/>
      <c r="X1963" s="61"/>
      <c r="Y1963" s="61"/>
      <c r="Z1963" s="61"/>
      <c r="AA1963" s="61"/>
      <c r="AB1963" s="61"/>
      <c r="AC1963" s="61"/>
    </row>
    <row r="1964" ht="15.75" customHeight="1">
      <c r="A1964" s="61"/>
      <c r="B1964" s="61"/>
      <c r="C1964" s="61"/>
      <c r="D1964" s="61"/>
      <c r="E1964" s="61"/>
      <c r="F1964" s="61"/>
      <c r="G1964" s="61"/>
      <c r="H1964" s="61"/>
      <c r="I1964" s="61"/>
      <c r="J1964" s="61"/>
      <c r="K1964" s="61"/>
      <c r="L1964" s="61"/>
      <c r="M1964" s="61"/>
      <c r="N1964" s="61"/>
      <c r="O1964" s="61"/>
      <c r="P1964" s="61"/>
      <c r="Q1964" s="61"/>
      <c r="R1964" s="61"/>
      <c r="S1964" s="61"/>
      <c r="T1964" s="61"/>
      <c r="U1964" s="61"/>
      <c r="V1964" s="61"/>
      <c r="W1964" s="61"/>
      <c r="X1964" s="61"/>
      <c r="Y1964" s="61"/>
      <c r="Z1964" s="61"/>
      <c r="AA1964" s="61"/>
      <c r="AB1964" s="61"/>
      <c r="AC1964" s="61"/>
    </row>
    <row r="1965" ht="15.75" customHeight="1">
      <c r="A1965" s="61"/>
      <c r="B1965" s="61"/>
      <c r="C1965" s="61"/>
      <c r="D1965" s="61"/>
      <c r="E1965" s="61"/>
      <c r="F1965" s="61"/>
      <c r="G1965" s="61"/>
      <c r="H1965" s="61"/>
      <c r="I1965" s="61"/>
      <c r="J1965" s="61"/>
      <c r="K1965" s="61"/>
      <c r="L1965" s="61"/>
      <c r="M1965" s="61"/>
      <c r="N1965" s="61"/>
      <c r="O1965" s="61"/>
      <c r="P1965" s="61"/>
      <c r="Q1965" s="61"/>
      <c r="R1965" s="61"/>
      <c r="S1965" s="61"/>
      <c r="T1965" s="61"/>
      <c r="U1965" s="61"/>
      <c r="V1965" s="61"/>
      <c r="W1965" s="61"/>
      <c r="X1965" s="61"/>
      <c r="Y1965" s="61"/>
      <c r="Z1965" s="61"/>
      <c r="AA1965" s="61"/>
      <c r="AB1965" s="61"/>
      <c r="AC1965" s="61"/>
    </row>
    <row r="1966" ht="15.75" customHeight="1">
      <c r="A1966" s="61"/>
      <c r="B1966" s="61"/>
      <c r="C1966" s="61"/>
      <c r="D1966" s="61"/>
      <c r="E1966" s="61"/>
      <c r="F1966" s="61"/>
      <c r="G1966" s="61"/>
      <c r="H1966" s="61"/>
      <c r="I1966" s="61"/>
      <c r="J1966" s="61"/>
      <c r="K1966" s="61"/>
      <c r="L1966" s="61"/>
      <c r="M1966" s="61"/>
      <c r="N1966" s="61"/>
      <c r="O1966" s="61"/>
      <c r="P1966" s="61"/>
      <c r="Q1966" s="61"/>
      <c r="R1966" s="61"/>
      <c r="S1966" s="61"/>
      <c r="T1966" s="61"/>
      <c r="U1966" s="61"/>
      <c r="V1966" s="61"/>
      <c r="W1966" s="61"/>
      <c r="X1966" s="61"/>
      <c r="Y1966" s="61"/>
      <c r="Z1966" s="61"/>
      <c r="AA1966" s="61"/>
      <c r="AB1966" s="61"/>
      <c r="AC1966" s="61"/>
    </row>
    <row r="1967" ht="15.75" customHeight="1">
      <c r="A1967" s="61"/>
      <c r="B1967" s="61"/>
      <c r="C1967" s="61"/>
      <c r="D1967" s="61"/>
      <c r="E1967" s="61"/>
      <c r="F1967" s="61"/>
      <c r="G1967" s="61"/>
      <c r="H1967" s="61"/>
      <c r="I1967" s="61"/>
      <c r="J1967" s="61"/>
      <c r="K1967" s="61"/>
      <c r="L1967" s="61"/>
      <c r="M1967" s="61"/>
      <c r="N1967" s="61"/>
      <c r="O1967" s="61"/>
      <c r="P1967" s="61"/>
      <c r="Q1967" s="61"/>
      <c r="R1967" s="61"/>
      <c r="S1967" s="61"/>
      <c r="T1967" s="61"/>
      <c r="U1967" s="61"/>
      <c r="V1967" s="61"/>
      <c r="W1967" s="61"/>
      <c r="X1967" s="61"/>
      <c r="Y1967" s="61"/>
      <c r="Z1967" s="61"/>
      <c r="AA1967" s="61"/>
      <c r="AB1967" s="61"/>
      <c r="AC1967" s="61"/>
    </row>
    <row r="1968" ht="15.75" customHeight="1">
      <c r="A1968" s="61"/>
      <c r="B1968" s="61"/>
      <c r="C1968" s="61"/>
      <c r="D1968" s="61"/>
      <c r="E1968" s="61"/>
      <c r="F1968" s="61"/>
      <c r="G1968" s="61"/>
      <c r="H1968" s="61"/>
      <c r="I1968" s="61"/>
      <c r="J1968" s="61"/>
      <c r="K1968" s="61"/>
      <c r="L1968" s="61"/>
      <c r="M1968" s="61"/>
      <c r="N1968" s="61"/>
      <c r="O1968" s="61"/>
      <c r="P1968" s="61"/>
      <c r="Q1968" s="61"/>
      <c r="R1968" s="61"/>
      <c r="S1968" s="61"/>
      <c r="T1968" s="61"/>
      <c r="U1968" s="61"/>
      <c r="V1968" s="61"/>
      <c r="W1968" s="61"/>
      <c r="X1968" s="61"/>
      <c r="Y1968" s="61"/>
      <c r="Z1968" s="61"/>
      <c r="AA1968" s="61"/>
      <c r="AB1968" s="61"/>
      <c r="AC1968" s="61"/>
    </row>
    <row r="1969" ht="15.75" customHeight="1">
      <c r="A1969" s="61"/>
      <c r="B1969" s="61"/>
      <c r="C1969" s="61"/>
      <c r="D1969" s="61"/>
      <c r="E1969" s="61"/>
      <c r="F1969" s="61"/>
      <c r="G1969" s="61"/>
      <c r="H1969" s="61"/>
      <c r="I1969" s="61"/>
      <c r="J1969" s="61"/>
      <c r="K1969" s="61"/>
      <c r="L1969" s="61"/>
      <c r="M1969" s="61"/>
      <c r="N1969" s="61"/>
      <c r="O1969" s="61"/>
      <c r="P1969" s="61"/>
      <c r="Q1969" s="61"/>
      <c r="R1969" s="61"/>
      <c r="S1969" s="61"/>
      <c r="T1969" s="61"/>
      <c r="U1969" s="61"/>
      <c r="V1969" s="61"/>
      <c r="W1969" s="61"/>
      <c r="X1969" s="61"/>
      <c r="Y1969" s="61"/>
      <c r="Z1969" s="61"/>
      <c r="AA1969" s="61"/>
      <c r="AB1969" s="61"/>
      <c r="AC1969" s="61"/>
    </row>
    <row r="1970" ht="15.75" customHeight="1">
      <c r="A1970" s="61"/>
      <c r="B1970" s="61"/>
      <c r="C1970" s="61"/>
      <c r="D1970" s="61"/>
      <c r="E1970" s="61"/>
      <c r="F1970" s="61"/>
      <c r="G1970" s="61"/>
      <c r="H1970" s="61"/>
      <c r="I1970" s="61"/>
      <c r="J1970" s="61"/>
      <c r="K1970" s="61"/>
      <c r="L1970" s="61"/>
      <c r="M1970" s="61"/>
      <c r="N1970" s="61"/>
      <c r="O1970" s="61"/>
      <c r="P1970" s="61"/>
      <c r="Q1970" s="61"/>
      <c r="R1970" s="61"/>
      <c r="S1970" s="61"/>
      <c r="T1970" s="61"/>
      <c r="U1970" s="61"/>
      <c r="V1970" s="61"/>
      <c r="W1970" s="61"/>
      <c r="X1970" s="61"/>
      <c r="Y1970" s="61"/>
      <c r="Z1970" s="61"/>
      <c r="AA1970" s="61"/>
      <c r="AB1970" s="61"/>
      <c r="AC1970" s="61"/>
    </row>
    <row r="1971" ht="15.75" customHeight="1">
      <c r="A1971" s="61"/>
      <c r="B1971" s="61"/>
      <c r="C1971" s="61"/>
      <c r="D1971" s="61"/>
      <c r="E1971" s="61"/>
      <c r="F1971" s="61"/>
      <c r="G1971" s="61"/>
      <c r="H1971" s="61"/>
      <c r="I1971" s="61"/>
      <c r="J1971" s="61"/>
      <c r="K1971" s="61"/>
      <c r="L1971" s="61"/>
      <c r="M1971" s="61"/>
      <c r="N1971" s="61"/>
      <c r="O1971" s="61"/>
      <c r="P1971" s="61"/>
      <c r="Q1971" s="61"/>
      <c r="R1971" s="61"/>
      <c r="S1971" s="61"/>
      <c r="T1971" s="61"/>
      <c r="U1971" s="61"/>
      <c r="V1971" s="61"/>
      <c r="W1971" s="61"/>
      <c r="X1971" s="61"/>
      <c r="Y1971" s="61"/>
      <c r="Z1971" s="61"/>
      <c r="AA1971" s="61"/>
      <c r="AB1971" s="61"/>
      <c r="AC1971" s="61"/>
    </row>
    <row r="1972" ht="15.75" customHeight="1">
      <c r="A1972" s="61"/>
      <c r="B1972" s="61"/>
      <c r="C1972" s="61"/>
      <c r="D1972" s="61"/>
      <c r="E1972" s="61"/>
      <c r="F1972" s="61"/>
      <c r="G1972" s="61"/>
      <c r="H1972" s="61"/>
      <c r="I1972" s="61"/>
      <c r="J1972" s="61"/>
      <c r="K1972" s="61"/>
      <c r="L1972" s="61"/>
      <c r="M1972" s="61"/>
      <c r="N1972" s="61"/>
      <c r="O1972" s="61"/>
      <c r="P1972" s="61"/>
      <c r="Q1972" s="61"/>
      <c r="R1972" s="61"/>
      <c r="S1972" s="61"/>
      <c r="T1972" s="61"/>
      <c r="U1972" s="61"/>
      <c r="V1972" s="61"/>
      <c r="W1972" s="61"/>
      <c r="X1972" s="61"/>
      <c r="Y1972" s="61"/>
      <c r="Z1972" s="61"/>
      <c r="AA1972" s="61"/>
      <c r="AB1972" s="61"/>
      <c r="AC1972" s="61"/>
    </row>
    <row r="1973" ht="15.75" customHeight="1">
      <c r="A1973" s="61"/>
      <c r="B1973" s="61"/>
      <c r="C1973" s="61"/>
      <c r="D1973" s="61"/>
      <c r="E1973" s="61"/>
      <c r="F1973" s="61"/>
      <c r="G1973" s="61"/>
      <c r="H1973" s="61"/>
      <c r="I1973" s="61"/>
      <c r="J1973" s="61"/>
      <c r="K1973" s="61"/>
      <c r="L1973" s="61"/>
      <c r="M1973" s="61"/>
      <c r="N1973" s="61"/>
      <c r="O1973" s="61"/>
      <c r="P1973" s="61"/>
      <c r="Q1973" s="61"/>
      <c r="R1973" s="61"/>
      <c r="S1973" s="61"/>
      <c r="T1973" s="61"/>
      <c r="U1973" s="61"/>
      <c r="V1973" s="61"/>
      <c r="W1973" s="61"/>
      <c r="X1973" s="61"/>
      <c r="Y1973" s="61"/>
      <c r="Z1973" s="61"/>
      <c r="AA1973" s="61"/>
      <c r="AB1973" s="61"/>
      <c r="AC1973" s="61"/>
    </row>
    <row r="1974" ht="15.75" customHeight="1">
      <c r="A1974" s="61"/>
      <c r="B1974" s="61"/>
      <c r="C1974" s="61"/>
      <c r="D1974" s="61"/>
      <c r="E1974" s="61"/>
      <c r="F1974" s="61"/>
      <c r="G1974" s="61"/>
      <c r="H1974" s="61"/>
      <c r="I1974" s="61"/>
      <c r="J1974" s="61"/>
      <c r="K1974" s="61"/>
      <c r="L1974" s="61"/>
      <c r="M1974" s="61"/>
      <c r="N1974" s="61"/>
      <c r="O1974" s="61"/>
      <c r="P1974" s="61"/>
      <c r="Q1974" s="61"/>
      <c r="R1974" s="61"/>
      <c r="S1974" s="61"/>
      <c r="T1974" s="61"/>
      <c r="U1974" s="61"/>
      <c r="V1974" s="61"/>
      <c r="W1974" s="61"/>
      <c r="X1974" s="61"/>
      <c r="Y1974" s="61"/>
      <c r="Z1974" s="61"/>
      <c r="AA1974" s="61"/>
      <c r="AB1974" s="61"/>
      <c r="AC1974" s="61"/>
    </row>
    <row r="1975" ht="15.75" customHeight="1">
      <c r="A1975" s="61"/>
      <c r="B1975" s="61"/>
      <c r="C1975" s="61"/>
      <c r="D1975" s="61"/>
      <c r="E1975" s="61"/>
      <c r="F1975" s="61"/>
      <c r="G1975" s="61"/>
      <c r="H1975" s="61"/>
      <c r="I1975" s="61"/>
      <c r="J1975" s="61"/>
      <c r="K1975" s="61"/>
      <c r="L1975" s="61"/>
      <c r="M1975" s="61"/>
      <c r="N1975" s="61"/>
      <c r="O1975" s="61"/>
      <c r="P1975" s="61"/>
      <c r="Q1975" s="61"/>
      <c r="R1975" s="61"/>
      <c r="S1975" s="61"/>
      <c r="T1975" s="61"/>
      <c r="U1975" s="61"/>
      <c r="V1975" s="61"/>
      <c r="W1975" s="61"/>
      <c r="X1975" s="61"/>
      <c r="Y1975" s="61"/>
      <c r="Z1975" s="61"/>
      <c r="AA1975" s="61"/>
      <c r="AB1975" s="61"/>
      <c r="AC1975" s="61"/>
    </row>
    <row r="1976" ht="15.75" customHeight="1">
      <c r="A1976" s="61"/>
      <c r="B1976" s="61"/>
      <c r="C1976" s="61"/>
      <c r="D1976" s="61"/>
      <c r="E1976" s="61"/>
      <c r="F1976" s="61"/>
      <c r="G1976" s="61"/>
      <c r="H1976" s="61"/>
      <c r="I1976" s="61"/>
      <c r="J1976" s="61"/>
      <c r="K1976" s="61"/>
      <c r="L1976" s="61"/>
      <c r="M1976" s="61"/>
      <c r="N1976" s="61"/>
      <c r="O1976" s="61"/>
      <c r="P1976" s="61"/>
      <c r="Q1976" s="61"/>
      <c r="R1976" s="61"/>
      <c r="S1976" s="61"/>
      <c r="T1976" s="61"/>
      <c r="U1976" s="61"/>
      <c r="V1976" s="61"/>
      <c r="W1976" s="61"/>
      <c r="X1976" s="61"/>
      <c r="Y1976" s="61"/>
      <c r="Z1976" s="61"/>
      <c r="AA1976" s="61"/>
      <c r="AB1976" s="61"/>
      <c r="AC1976" s="61"/>
    </row>
    <row r="1977" ht="15.75" customHeight="1">
      <c r="A1977" s="61"/>
      <c r="B1977" s="61"/>
      <c r="C1977" s="61"/>
      <c r="D1977" s="61"/>
      <c r="E1977" s="61"/>
      <c r="F1977" s="61"/>
      <c r="G1977" s="61"/>
      <c r="H1977" s="61"/>
      <c r="I1977" s="61"/>
      <c r="J1977" s="61"/>
      <c r="K1977" s="61"/>
      <c r="L1977" s="61"/>
      <c r="M1977" s="61"/>
      <c r="N1977" s="61"/>
      <c r="O1977" s="61"/>
      <c r="P1977" s="61"/>
      <c r="Q1977" s="61"/>
      <c r="R1977" s="61"/>
      <c r="S1977" s="61"/>
      <c r="T1977" s="61"/>
      <c r="U1977" s="61"/>
      <c r="V1977" s="61"/>
      <c r="W1977" s="61"/>
      <c r="X1977" s="61"/>
      <c r="Y1977" s="61"/>
      <c r="Z1977" s="61"/>
      <c r="AA1977" s="61"/>
      <c r="AB1977" s="61"/>
      <c r="AC1977" s="61"/>
    </row>
    <row r="1978" ht="15.75" customHeight="1">
      <c r="A1978" s="61"/>
      <c r="B1978" s="61"/>
      <c r="C1978" s="61"/>
      <c r="D1978" s="61"/>
      <c r="E1978" s="61"/>
      <c r="F1978" s="61"/>
      <c r="G1978" s="61"/>
      <c r="H1978" s="61"/>
      <c r="I1978" s="61"/>
      <c r="J1978" s="61"/>
      <c r="K1978" s="61"/>
      <c r="L1978" s="61"/>
      <c r="M1978" s="61"/>
      <c r="N1978" s="61"/>
      <c r="O1978" s="61"/>
      <c r="P1978" s="61"/>
      <c r="Q1978" s="61"/>
      <c r="R1978" s="61"/>
      <c r="S1978" s="61"/>
      <c r="T1978" s="61"/>
      <c r="U1978" s="61"/>
      <c r="V1978" s="61"/>
      <c r="W1978" s="61"/>
      <c r="X1978" s="61"/>
      <c r="Y1978" s="61"/>
      <c r="Z1978" s="61"/>
      <c r="AA1978" s="61"/>
      <c r="AB1978" s="61"/>
      <c r="AC1978" s="61"/>
    </row>
    <row r="1979" ht="15.75" customHeight="1">
      <c r="A1979" s="61"/>
      <c r="B1979" s="61"/>
      <c r="C1979" s="61"/>
      <c r="D1979" s="61"/>
      <c r="E1979" s="61"/>
      <c r="F1979" s="61"/>
      <c r="G1979" s="61"/>
      <c r="H1979" s="61"/>
      <c r="I1979" s="61"/>
      <c r="J1979" s="61"/>
      <c r="K1979" s="61"/>
      <c r="L1979" s="61"/>
      <c r="M1979" s="61"/>
      <c r="N1979" s="61"/>
      <c r="O1979" s="61"/>
      <c r="P1979" s="61"/>
      <c r="Q1979" s="61"/>
      <c r="R1979" s="61"/>
      <c r="S1979" s="61"/>
      <c r="T1979" s="61"/>
      <c r="U1979" s="61"/>
      <c r="V1979" s="61"/>
      <c r="W1979" s="61"/>
      <c r="X1979" s="61"/>
      <c r="Y1979" s="61"/>
      <c r="Z1979" s="61"/>
      <c r="AA1979" s="61"/>
      <c r="AB1979" s="61"/>
      <c r="AC1979" s="61"/>
    </row>
    <row r="1980" ht="15.75" customHeight="1">
      <c r="A1980" s="61"/>
      <c r="B1980" s="61"/>
      <c r="C1980" s="61"/>
      <c r="D1980" s="61"/>
      <c r="E1980" s="61"/>
      <c r="F1980" s="61"/>
      <c r="G1980" s="61"/>
      <c r="H1980" s="61"/>
      <c r="I1980" s="61"/>
      <c r="J1980" s="61"/>
      <c r="K1980" s="61"/>
      <c r="L1980" s="61"/>
      <c r="M1980" s="61"/>
      <c r="N1980" s="61"/>
      <c r="O1980" s="61"/>
      <c r="P1980" s="61"/>
      <c r="Q1980" s="61"/>
      <c r="R1980" s="61"/>
      <c r="S1980" s="61"/>
      <c r="T1980" s="61"/>
      <c r="U1980" s="61"/>
      <c r="V1980" s="61"/>
      <c r="W1980" s="61"/>
      <c r="X1980" s="61"/>
      <c r="Y1980" s="61"/>
      <c r="Z1980" s="61"/>
      <c r="AA1980" s="61"/>
      <c r="AB1980" s="61"/>
      <c r="AC1980" s="61"/>
    </row>
    <row r="1981" ht="15.75" customHeight="1">
      <c r="A1981" s="61"/>
      <c r="B1981" s="61"/>
      <c r="C1981" s="61"/>
      <c r="D1981" s="61"/>
      <c r="E1981" s="61"/>
      <c r="F1981" s="61"/>
      <c r="G1981" s="61"/>
      <c r="H1981" s="61"/>
      <c r="I1981" s="61"/>
      <c r="J1981" s="61"/>
      <c r="K1981" s="61"/>
      <c r="L1981" s="61"/>
      <c r="M1981" s="61"/>
      <c r="N1981" s="61"/>
      <c r="O1981" s="61"/>
      <c r="P1981" s="61"/>
      <c r="Q1981" s="61"/>
      <c r="R1981" s="61"/>
      <c r="S1981" s="61"/>
      <c r="T1981" s="61"/>
      <c r="U1981" s="61"/>
      <c r="V1981" s="61"/>
      <c r="W1981" s="61"/>
      <c r="X1981" s="61"/>
      <c r="Y1981" s="61"/>
      <c r="Z1981" s="61"/>
      <c r="AA1981" s="61"/>
      <c r="AB1981" s="61"/>
      <c r="AC1981" s="61"/>
    </row>
    <row r="1982" ht="15.75" customHeight="1">
      <c r="A1982" s="61"/>
      <c r="B1982" s="61"/>
      <c r="C1982" s="61"/>
      <c r="D1982" s="61"/>
      <c r="E1982" s="61"/>
      <c r="F1982" s="61"/>
      <c r="G1982" s="61"/>
      <c r="H1982" s="61"/>
      <c r="I1982" s="61"/>
      <c r="J1982" s="61"/>
      <c r="K1982" s="61"/>
      <c r="L1982" s="61"/>
      <c r="M1982" s="61"/>
      <c r="N1982" s="61"/>
      <c r="O1982" s="61"/>
      <c r="P1982" s="61"/>
      <c r="Q1982" s="61"/>
      <c r="R1982" s="61"/>
      <c r="S1982" s="61"/>
      <c r="T1982" s="61"/>
      <c r="U1982" s="61"/>
      <c r="V1982" s="61"/>
      <c r="W1982" s="61"/>
      <c r="X1982" s="61"/>
      <c r="Y1982" s="61"/>
      <c r="Z1982" s="61"/>
      <c r="AA1982" s="61"/>
      <c r="AB1982" s="61"/>
      <c r="AC1982" s="61"/>
    </row>
    <row r="1983" ht="15.75" customHeight="1">
      <c r="A1983" s="61"/>
      <c r="B1983" s="61"/>
      <c r="C1983" s="61"/>
      <c r="D1983" s="61"/>
      <c r="E1983" s="61"/>
      <c r="F1983" s="61"/>
      <c r="G1983" s="61"/>
      <c r="H1983" s="61"/>
      <c r="I1983" s="61"/>
      <c r="J1983" s="61"/>
      <c r="K1983" s="61"/>
      <c r="L1983" s="61"/>
      <c r="M1983" s="61"/>
      <c r="N1983" s="61"/>
      <c r="O1983" s="61"/>
      <c r="P1983" s="61"/>
      <c r="Q1983" s="61"/>
      <c r="R1983" s="61"/>
      <c r="S1983" s="61"/>
      <c r="T1983" s="61"/>
      <c r="U1983" s="61"/>
      <c r="V1983" s="61"/>
      <c r="W1983" s="61"/>
      <c r="X1983" s="61"/>
      <c r="Y1983" s="61"/>
      <c r="Z1983" s="61"/>
      <c r="AA1983" s="61"/>
      <c r="AB1983" s="61"/>
      <c r="AC1983" s="61"/>
    </row>
    <row r="1984" ht="15.75" customHeight="1">
      <c r="A1984" s="61"/>
      <c r="B1984" s="61"/>
      <c r="C1984" s="61"/>
      <c r="D1984" s="61"/>
      <c r="E1984" s="61"/>
      <c r="F1984" s="61"/>
      <c r="G1984" s="61"/>
      <c r="H1984" s="61"/>
      <c r="I1984" s="61"/>
      <c r="J1984" s="61"/>
      <c r="K1984" s="61"/>
      <c r="L1984" s="61"/>
      <c r="M1984" s="61"/>
      <c r="N1984" s="61"/>
      <c r="O1984" s="61"/>
      <c r="P1984" s="61"/>
      <c r="Q1984" s="61"/>
      <c r="R1984" s="61"/>
      <c r="S1984" s="61"/>
      <c r="T1984" s="61"/>
      <c r="U1984" s="61"/>
      <c r="V1984" s="61"/>
      <c r="W1984" s="61"/>
      <c r="X1984" s="61"/>
      <c r="Y1984" s="61"/>
      <c r="Z1984" s="61"/>
      <c r="AA1984" s="61"/>
      <c r="AB1984" s="61"/>
      <c r="AC1984" s="61"/>
    </row>
    <row r="1985" ht="15.75" customHeight="1">
      <c r="A1985" s="61"/>
      <c r="B1985" s="61"/>
      <c r="C1985" s="61"/>
      <c r="D1985" s="61"/>
      <c r="E1985" s="61"/>
      <c r="F1985" s="61"/>
      <c r="G1985" s="61"/>
      <c r="H1985" s="61"/>
      <c r="I1985" s="61"/>
      <c r="J1985" s="61"/>
      <c r="K1985" s="61"/>
      <c r="L1985" s="61"/>
      <c r="M1985" s="61"/>
      <c r="N1985" s="61"/>
      <c r="O1985" s="61"/>
      <c r="P1985" s="61"/>
      <c r="Q1985" s="61"/>
      <c r="R1985" s="61"/>
      <c r="S1985" s="61"/>
      <c r="T1985" s="61"/>
      <c r="U1985" s="61"/>
      <c r="V1985" s="61"/>
      <c r="W1985" s="61"/>
      <c r="X1985" s="61"/>
      <c r="Y1985" s="61"/>
      <c r="Z1985" s="61"/>
      <c r="AA1985" s="61"/>
      <c r="AB1985" s="61"/>
      <c r="AC1985" s="61"/>
    </row>
    <row r="1986" ht="15.75" customHeight="1">
      <c r="A1986" s="61"/>
      <c r="B1986" s="61"/>
      <c r="C1986" s="61"/>
      <c r="D1986" s="61"/>
      <c r="E1986" s="61"/>
      <c r="F1986" s="61"/>
      <c r="G1986" s="61"/>
      <c r="H1986" s="61"/>
      <c r="I1986" s="61"/>
      <c r="J1986" s="61"/>
      <c r="K1986" s="61"/>
      <c r="L1986" s="61"/>
      <c r="M1986" s="61"/>
      <c r="N1986" s="61"/>
      <c r="O1986" s="61"/>
      <c r="P1986" s="61"/>
      <c r="Q1986" s="61"/>
      <c r="R1986" s="61"/>
      <c r="S1986" s="61"/>
      <c r="T1986" s="61"/>
      <c r="U1986" s="61"/>
      <c r="V1986" s="61"/>
      <c r="W1986" s="61"/>
      <c r="X1986" s="61"/>
      <c r="Y1986" s="61"/>
      <c r="Z1986" s="61"/>
      <c r="AA1986" s="61"/>
      <c r="AB1986" s="61"/>
      <c r="AC1986" s="61"/>
    </row>
    <row r="1987" ht="15.75" customHeight="1">
      <c r="A1987" s="61"/>
      <c r="B1987" s="61"/>
      <c r="C1987" s="61"/>
      <c r="D1987" s="61"/>
      <c r="E1987" s="61"/>
      <c r="F1987" s="61"/>
      <c r="G1987" s="61"/>
      <c r="H1987" s="61"/>
      <c r="I1987" s="61"/>
      <c r="J1987" s="61"/>
      <c r="K1987" s="61"/>
      <c r="L1987" s="61"/>
      <c r="M1987" s="61"/>
      <c r="N1987" s="61"/>
      <c r="O1987" s="61"/>
      <c r="P1987" s="61"/>
      <c r="Q1987" s="61"/>
      <c r="R1987" s="61"/>
      <c r="S1987" s="61"/>
      <c r="T1987" s="61"/>
      <c r="U1987" s="61"/>
      <c r="V1987" s="61"/>
      <c r="W1987" s="61"/>
      <c r="X1987" s="61"/>
      <c r="Y1987" s="61"/>
      <c r="Z1987" s="61"/>
      <c r="AA1987" s="61"/>
      <c r="AB1987" s="61"/>
      <c r="AC1987" s="61"/>
    </row>
    <row r="1988" ht="15.75" customHeight="1">
      <c r="A1988" s="61"/>
      <c r="B1988" s="61"/>
      <c r="C1988" s="61"/>
      <c r="D1988" s="61"/>
      <c r="E1988" s="61"/>
      <c r="F1988" s="61"/>
      <c r="G1988" s="61"/>
      <c r="H1988" s="61"/>
      <c r="I1988" s="61"/>
      <c r="J1988" s="61"/>
      <c r="K1988" s="61"/>
      <c r="L1988" s="61"/>
      <c r="M1988" s="61"/>
      <c r="N1988" s="61"/>
      <c r="O1988" s="61"/>
      <c r="P1988" s="61"/>
      <c r="Q1988" s="61"/>
      <c r="R1988" s="61"/>
      <c r="S1988" s="61"/>
      <c r="T1988" s="61"/>
      <c r="U1988" s="61"/>
      <c r="V1988" s="61"/>
      <c r="W1988" s="61"/>
      <c r="X1988" s="61"/>
      <c r="Y1988" s="61"/>
      <c r="Z1988" s="61"/>
      <c r="AA1988" s="61"/>
      <c r="AB1988" s="61"/>
      <c r="AC1988" s="61"/>
    </row>
    <row r="1989" ht="15.75" customHeight="1">
      <c r="A1989" s="61"/>
      <c r="B1989" s="61"/>
      <c r="C1989" s="61"/>
      <c r="D1989" s="61"/>
      <c r="E1989" s="61"/>
      <c r="F1989" s="61"/>
      <c r="G1989" s="61"/>
      <c r="H1989" s="61"/>
      <c r="I1989" s="61"/>
      <c r="J1989" s="61"/>
      <c r="K1989" s="61"/>
      <c r="L1989" s="61"/>
      <c r="M1989" s="61"/>
      <c r="N1989" s="61"/>
      <c r="O1989" s="61"/>
      <c r="P1989" s="61"/>
      <c r="Q1989" s="61"/>
      <c r="R1989" s="61"/>
      <c r="S1989" s="61"/>
      <c r="T1989" s="61"/>
      <c r="U1989" s="61"/>
      <c r="V1989" s="61"/>
      <c r="W1989" s="61"/>
      <c r="X1989" s="61"/>
      <c r="Y1989" s="61"/>
      <c r="Z1989" s="61"/>
      <c r="AA1989" s="61"/>
      <c r="AB1989" s="61"/>
      <c r="AC1989" s="61"/>
    </row>
    <row r="1990" ht="15.75" customHeight="1">
      <c r="A1990" s="61"/>
      <c r="B1990" s="61"/>
      <c r="C1990" s="61"/>
      <c r="D1990" s="61"/>
      <c r="E1990" s="61"/>
      <c r="F1990" s="61"/>
      <c r="G1990" s="61"/>
      <c r="H1990" s="61"/>
      <c r="I1990" s="61"/>
      <c r="J1990" s="61"/>
      <c r="K1990" s="61"/>
      <c r="L1990" s="61"/>
      <c r="M1990" s="61"/>
      <c r="N1990" s="61"/>
      <c r="O1990" s="61"/>
      <c r="P1990" s="61"/>
      <c r="Q1990" s="61"/>
      <c r="R1990" s="61"/>
      <c r="S1990" s="61"/>
      <c r="T1990" s="61"/>
      <c r="U1990" s="61"/>
      <c r="V1990" s="61"/>
      <c r="W1990" s="61"/>
      <c r="X1990" s="61"/>
      <c r="Y1990" s="61"/>
      <c r="Z1990" s="61"/>
      <c r="AA1990" s="61"/>
      <c r="AB1990" s="61"/>
      <c r="AC1990" s="61"/>
    </row>
    <row r="1991" ht="15.75" customHeight="1">
      <c r="A1991" s="61"/>
      <c r="B1991" s="61"/>
      <c r="C1991" s="61"/>
      <c r="D1991" s="61"/>
      <c r="E1991" s="61"/>
      <c r="F1991" s="61"/>
      <c r="G1991" s="61"/>
      <c r="H1991" s="61"/>
      <c r="I1991" s="61"/>
      <c r="J1991" s="61"/>
      <c r="K1991" s="61"/>
      <c r="L1991" s="61"/>
      <c r="M1991" s="61"/>
      <c r="N1991" s="61"/>
      <c r="O1991" s="61"/>
      <c r="P1991" s="61"/>
      <c r="Q1991" s="61"/>
      <c r="R1991" s="61"/>
      <c r="S1991" s="61"/>
      <c r="T1991" s="61"/>
      <c r="U1991" s="61"/>
      <c r="V1991" s="61"/>
      <c r="W1991" s="61"/>
      <c r="X1991" s="61"/>
      <c r="Y1991" s="61"/>
      <c r="Z1991" s="61"/>
      <c r="AA1991" s="61"/>
      <c r="AB1991" s="61"/>
      <c r="AC1991" s="61"/>
    </row>
    <row r="1992" ht="15.75" customHeight="1">
      <c r="A1992" s="61"/>
      <c r="B1992" s="61"/>
      <c r="C1992" s="61"/>
      <c r="D1992" s="61"/>
      <c r="E1992" s="61"/>
      <c r="F1992" s="61"/>
      <c r="G1992" s="61"/>
      <c r="H1992" s="61"/>
      <c r="I1992" s="61"/>
      <c r="J1992" s="61"/>
      <c r="K1992" s="61"/>
      <c r="L1992" s="61"/>
      <c r="M1992" s="61"/>
      <c r="N1992" s="61"/>
      <c r="O1992" s="61"/>
      <c r="P1992" s="61"/>
      <c r="Q1992" s="61"/>
      <c r="R1992" s="61"/>
      <c r="S1992" s="61"/>
      <c r="T1992" s="61"/>
      <c r="U1992" s="61"/>
      <c r="V1992" s="61"/>
      <c r="W1992" s="61"/>
      <c r="X1992" s="61"/>
      <c r="Y1992" s="61"/>
      <c r="Z1992" s="61"/>
      <c r="AA1992" s="61"/>
      <c r="AB1992" s="61"/>
      <c r="AC1992" s="61"/>
    </row>
    <row r="1993" ht="15.75" customHeight="1">
      <c r="A1993" s="61"/>
      <c r="B1993" s="61"/>
      <c r="C1993" s="61"/>
      <c r="D1993" s="61"/>
      <c r="E1993" s="61"/>
      <c r="F1993" s="61"/>
      <c r="G1993" s="61"/>
      <c r="H1993" s="61"/>
      <c r="I1993" s="61"/>
      <c r="J1993" s="61"/>
      <c r="K1993" s="61"/>
      <c r="L1993" s="61"/>
      <c r="M1993" s="61"/>
      <c r="N1993" s="61"/>
      <c r="O1993" s="61"/>
      <c r="P1993" s="61"/>
      <c r="Q1993" s="61"/>
      <c r="R1993" s="61"/>
      <c r="S1993" s="61"/>
      <c r="T1993" s="61"/>
      <c r="U1993" s="61"/>
      <c r="V1993" s="61"/>
      <c r="W1993" s="61"/>
      <c r="X1993" s="61"/>
      <c r="Y1993" s="61"/>
      <c r="Z1993" s="61"/>
      <c r="AA1993" s="61"/>
      <c r="AB1993" s="61"/>
      <c r="AC1993" s="61"/>
    </row>
    <row r="1994" ht="15.75" customHeight="1">
      <c r="A1994" s="61"/>
      <c r="B1994" s="61"/>
      <c r="C1994" s="61"/>
      <c r="D1994" s="61"/>
      <c r="E1994" s="61"/>
      <c r="F1994" s="61"/>
      <c r="G1994" s="61"/>
      <c r="H1994" s="61"/>
      <c r="I1994" s="61"/>
      <c r="J1994" s="61"/>
      <c r="K1994" s="61"/>
      <c r="L1994" s="61"/>
      <c r="M1994" s="61"/>
      <c r="N1994" s="61"/>
      <c r="O1994" s="61"/>
      <c r="P1994" s="61"/>
      <c r="Q1994" s="61"/>
      <c r="R1994" s="61"/>
      <c r="S1994" s="61"/>
      <c r="T1994" s="61"/>
      <c r="U1994" s="61"/>
      <c r="V1994" s="61"/>
      <c r="W1994" s="61"/>
      <c r="X1994" s="61"/>
      <c r="Y1994" s="61"/>
      <c r="Z1994" s="61"/>
      <c r="AA1994" s="61"/>
      <c r="AB1994" s="61"/>
      <c r="AC1994" s="61"/>
    </row>
    <row r="1995" ht="15.75" customHeight="1">
      <c r="A1995" s="61"/>
      <c r="B1995" s="61"/>
      <c r="C1995" s="61"/>
      <c r="D1995" s="61"/>
      <c r="E1995" s="61"/>
      <c r="F1995" s="61"/>
      <c r="G1995" s="61"/>
      <c r="H1995" s="61"/>
      <c r="I1995" s="61"/>
      <c r="J1995" s="61"/>
      <c r="K1995" s="61"/>
      <c r="L1995" s="61"/>
      <c r="M1995" s="61"/>
      <c r="N1995" s="61"/>
      <c r="O1995" s="61"/>
      <c r="P1995" s="61"/>
      <c r="Q1995" s="61"/>
      <c r="R1995" s="61"/>
      <c r="S1995" s="61"/>
      <c r="T1995" s="61"/>
      <c r="U1995" s="61"/>
      <c r="V1995" s="61"/>
      <c r="W1995" s="61"/>
      <c r="X1995" s="61"/>
      <c r="Y1995" s="61"/>
      <c r="Z1995" s="61"/>
      <c r="AA1995" s="61"/>
      <c r="AB1995" s="61"/>
      <c r="AC1995" s="61"/>
    </row>
    <row r="1996" ht="15.75" customHeight="1">
      <c r="A1996" s="61"/>
      <c r="B1996" s="61"/>
      <c r="C1996" s="61"/>
      <c r="D1996" s="61"/>
      <c r="E1996" s="61"/>
      <c r="F1996" s="61"/>
      <c r="G1996" s="61"/>
      <c r="H1996" s="61"/>
      <c r="I1996" s="61"/>
      <c r="J1996" s="61"/>
      <c r="K1996" s="61"/>
      <c r="L1996" s="61"/>
      <c r="M1996" s="61"/>
      <c r="N1996" s="61"/>
      <c r="O1996" s="61"/>
      <c r="P1996" s="61"/>
      <c r="Q1996" s="61"/>
      <c r="R1996" s="61"/>
      <c r="S1996" s="61"/>
      <c r="T1996" s="61"/>
      <c r="U1996" s="61"/>
      <c r="V1996" s="61"/>
      <c r="W1996" s="61"/>
      <c r="X1996" s="61"/>
      <c r="Y1996" s="61"/>
      <c r="Z1996" s="61"/>
      <c r="AA1996" s="61"/>
      <c r="AB1996" s="61"/>
      <c r="AC1996" s="61"/>
    </row>
    <row r="1997" ht="15.75" customHeight="1">
      <c r="A1997" s="61"/>
      <c r="B1997" s="61"/>
      <c r="C1997" s="61"/>
      <c r="D1997" s="61"/>
      <c r="E1997" s="61"/>
      <c r="F1997" s="61"/>
      <c r="G1997" s="61"/>
      <c r="H1997" s="61"/>
      <c r="I1997" s="61"/>
      <c r="J1997" s="61"/>
      <c r="K1997" s="61"/>
      <c r="L1997" s="61"/>
      <c r="M1997" s="61"/>
      <c r="N1997" s="61"/>
      <c r="O1997" s="61"/>
      <c r="P1997" s="61"/>
      <c r="Q1997" s="61"/>
      <c r="R1997" s="61"/>
      <c r="S1997" s="61"/>
      <c r="T1997" s="61"/>
      <c r="U1997" s="61"/>
      <c r="V1997" s="61"/>
      <c r="W1997" s="61"/>
      <c r="X1997" s="61"/>
      <c r="Y1997" s="61"/>
      <c r="Z1997" s="61"/>
      <c r="AA1997" s="61"/>
      <c r="AB1997" s="61"/>
      <c r="AC1997" s="61"/>
    </row>
    <row r="1998" ht="15.75" customHeight="1">
      <c r="A1998" s="61"/>
      <c r="B1998" s="61"/>
      <c r="C1998" s="61"/>
      <c r="D1998" s="61"/>
      <c r="E1998" s="61"/>
      <c r="F1998" s="61"/>
      <c r="G1998" s="61"/>
      <c r="H1998" s="61"/>
      <c r="I1998" s="61"/>
      <c r="J1998" s="61"/>
      <c r="K1998" s="61"/>
      <c r="L1998" s="61"/>
      <c r="M1998" s="61"/>
      <c r="N1998" s="61"/>
      <c r="O1998" s="61"/>
      <c r="P1998" s="61"/>
      <c r="Q1998" s="61"/>
      <c r="R1998" s="61"/>
      <c r="S1998" s="61"/>
      <c r="T1998" s="61"/>
      <c r="U1998" s="61"/>
      <c r="V1998" s="61"/>
      <c r="W1998" s="61"/>
      <c r="X1998" s="61"/>
      <c r="Y1998" s="61"/>
      <c r="Z1998" s="61"/>
      <c r="AA1998" s="61"/>
      <c r="AB1998" s="61"/>
      <c r="AC1998" s="61"/>
    </row>
    <row r="1999" ht="15.75" customHeight="1">
      <c r="A1999" s="61"/>
      <c r="B1999" s="61"/>
      <c r="C1999" s="61"/>
      <c r="D1999" s="61"/>
      <c r="E1999" s="61"/>
      <c r="F1999" s="61"/>
      <c r="G1999" s="61"/>
      <c r="H1999" s="61"/>
      <c r="I1999" s="61"/>
      <c r="J1999" s="61"/>
      <c r="K1999" s="61"/>
      <c r="L1999" s="61"/>
      <c r="M1999" s="61"/>
      <c r="N1999" s="61"/>
      <c r="O1999" s="61"/>
      <c r="P1999" s="61"/>
      <c r="Q1999" s="61"/>
      <c r="R1999" s="61"/>
      <c r="S1999" s="61"/>
      <c r="T1999" s="61"/>
      <c r="U1999" s="61"/>
      <c r="V1999" s="61"/>
      <c r="W1999" s="61"/>
      <c r="X1999" s="61"/>
      <c r="Y1999" s="61"/>
      <c r="Z1999" s="61"/>
      <c r="AA1999" s="61"/>
      <c r="AB1999" s="61"/>
      <c r="AC1999" s="61"/>
    </row>
    <row r="2000" ht="15.75" customHeight="1">
      <c r="A2000" s="61"/>
      <c r="B2000" s="61"/>
      <c r="C2000" s="61"/>
      <c r="D2000" s="61"/>
      <c r="E2000" s="61"/>
      <c r="F2000" s="61"/>
      <c r="G2000" s="61"/>
      <c r="H2000" s="61"/>
      <c r="I2000" s="61"/>
      <c r="J2000" s="61"/>
      <c r="K2000" s="61"/>
      <c r="L2000" s="61"/>
      <c r="M2000" s="61"/>
      <c r="N2000" s="61"/>
      <c r="O2000" s="61"/>
      <c r="P2000" s="61"/>
      <c r="Q2000" s="61"/>
      <c r="R2000" s="61"/>
      <c r="S2000" s="61"/>
      <c r="T2000" s="61"/>
      <c r="U2000" s="61"/>
      <c r="V2000" s="61"/>
      <c r="W2000" s="61"/>
      <c r="X2000" s="61"/>
      <c r="Y2000" s="61"/>
      <c r="Z2000" s="61"/>
      <c r="AA2000" s="61"/>
      <c r="AB2000" s="61"/>
      <c r="AC2000" s="61"/>
    </row>
    <row r="2001" ht="15.75" customHeight="1">
      <c r="A2001" s="61"/>
      <c r="B2001" s="61"/>
      <c r="C2001" s="61"/>
      <c r="D2001" s="61"/>
      <c r="E2001" s="61"/>
      <c r="F2001" s="61"/>
      <c r="G2001" s="61"/>
      <c r="H2001" s="61"/>
      <c r="I2001" s="61"/>
      <c r="J2001" s="61"/>
      <c r="K2001" s="61"/>
      <c r="L2001" s="61"/>
      <c r="M2001" s="61"/>
      <c r="N2001" s="61"/>
      <c r="O2001" s="61"/>
      <c r="P2001" s="61"/>
      <c r="Q2001" s="61"/>
      <c r="R2001" s="61"/>
      <c r="S2001" s="61"/>
      <c r="T2001" s="61"/>
      <c r="U2001" s="61"/>
      <c r="V2001" s="61"/>
      <c r="W2001" s="61"/>
      <c r="X2001" s="61"/>
      <c r="Y2001" s="61"/>
      <c r="Z2001" s="61"/>
      <c r="AA2001" s="61"/>
      <c r="AB2001" s="61"/>
      <c r="AC2001" s="61"/>
    </row>
    <row r="2002" ht="15.75" customHeight="1">
      <c r="A2002" s="61"/>
      <c r="B2002" s="61"/>
      <c r="C2002" s="61"/>
      <c r="D2002" s="61"/>
      <c r="E2002" s="61"/>
      <c r="F2002" s="61"/>
      <c r="G2002" s="61"/>
      <c r="H2002" s="61"/>
      <c r="I2002" s="61"/>
      <c r="J2002" s="61"/>
      <c r="K2002" s="61"/>
      <c r="L2002" s="61"/>
      <c r="M2002" s="61"/>
      <c r="N2002" s="61"/>
      <c r="O2002" s="61"/>
      <c r="P2002" s="61"/>
      <c r="Q2002" s="61"/>
      <c r="R2002" s="61"/>
      <c r="S2002" s="61"/>
      <c r="T2002" s="61"/>
      <c r="U2002" s="61"/>
      <c r="V2002" s="61"/>
      <c r="W2002" s="61"/>
      <c r="X2002" s="61"/>
      <c r="Y2002" s="61"/>
      <c r="Z2002" s="61"/>
      <c r="AA2002" s="61"/>
      <c r="AB2002" s="61"/>
      <c r="AC2002" s="61"/>
    </row>
    <row r="2003" ht="15.75" customHeight="1">
      <c r="A2003" s="61"/>
      <c r="B2003" s="61"/>
      <c r="C2003" s="61"/>
      <c r="D2003" s="61"/>
      <c r="E2003" s="61"/>
      <c r="F2003" s="61"/>
      <c r="G2003" s="61"/>
      <c r="H2003" s="61"/>
      <c r="I2003" s="61"/>
      <c r="J2003" s="61"/>
      <c r="K2003" s="61"/>
      <c r="L2003" s="61"/>
      <c r="M2003" s="61"/>
      <c r="N2003" s="61"/>
      <c r="O2003" s="61"/>
      <c r="P2003" s="61"/>
      <c r="Q2003" s="61"/>
      <c r="R2003" s="61"/>
      <c r="S2003" s="61"/>
      <c r="T2003" s="61"/>
      <c r="U2003" s="61"/>
      <c r="V2003" s="61"/>
      <c r="W2003" s="61"/>
      <c r="X2003" s="61"/>
      <c r="Y2003" s="61"/>
      <c r="Z2003" s="61"/>
      <c r="AA2003" s="61"/>
      <c r="AB2003" s="61"/>
      <c r="AC2003" s="61"/>
    </row>
    <row r="2004" ht="15.75" customHeight="1">
      <c r="A2004" s="61"/>
      <c r="B2004" s="61"/>
      <c r="C2004" s="61"/>
      <c r="D2004" s="61"/>
      <c r="E2004" s="61"/>
      <c r="F2004" s="61"/>
      <c r="G2004" s="61"/>
      <c r="H2004" s="61"/>
      <c r="I2004" s="61"/>
      <c r="J2004" s="61"/>
      <c r="K2004" s="61"/>
      <c r="L2004" s="61"/>
      <c r="M2004" s="61"/>
      <c r="N2004" s="61"/>
      <c r="O2004" s="61"/>
      <c r="P2004" s="61"/>
      <c r="Q2004" s="61"/>
      <c r="R2004" s="61"/>
      <c r="S2004" s="61"/>
      <c r="T2004" s="61"/>
      <c r="U2004" s="61"/>
      <c r="V2004" s="61"/>
      <c r="W2004" s="61"/>
      <c r="X2004" s="61"/>
      <c r="Y2004" s="61"/>
      <c r="Z2004" s="61"/>
      <c r="AA2004" s="61"/>
      <c r="AB2004" s="61"/>
      <c r="AC2004" s="61"/>
    </row>
    <row r="2005" ht="15.75" customHeight="1">
      <c r="A2005" s="61"/>
      <c r="B2005" s="61"/>
      <c r="C2005" s="61"/>
      <c r="D2005" s="61"/>
      <c r="E2005" s="61"/>
      <c r="F2005" s="61"/>
      <c r="G2005" s="61"/>
      <c r="H2005" s="61"/>
      <c r="I2005" s="61"/>
      <c r="J2005" s="61"/>
      <c r="K2005" s="61"/>
      <c r="L2005" s="61"/>
      <c r="M2005" s="61"/>
      <c r="N2005" s="61"/>
      <c r="O2005" s="61"/>
      <c r="P2005" s="61"/>
      <c r="Q2005" s="61"/>
      <c r="R2005" s="61"/>
      <c r="S2005" s="61"/>
      <c r="T2005" s="61"/>
      <c r="U2005" s="61"/>
      <c r="V2005" s="61"/>
      <c r="W2005" s="61"/>
      <c r="X2005" s="61"/>
      <c r="Y2005" s="61"/>
      <c r="Z2005" s="61"/>
      <c r="AA2005" s="61"/>
      <c r="AB2005" s="61"/>
      <c r="AC2005" s="61"/>
    </row>
  </sheetData>
  <printOptions/>
  <pageMargins bottom="0.75" footer="0.0" header="0.0" left="0.7" right="0.7" top="0.75"/>
  <pageSetup orientation="landscape"/>
  <drawing r:id="rId1"/>
</worksheet>
</file>