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TA+ETA" sheetId="1" r:id="rId4"/>
    <sheet state="visible" name="D01" sheetId="2" r:id="rId5"/>
    <sheet state="visible" name="D02" sheetId="3" r:id="rId6"/>
    <sheet state="visible" name="D03" sheetId="4" r:id="rId7"/>
    <sheet state="visible" name="D04" sheetId="5" r:id="rId8"/>
    <sheet state="visible" name="D05" sheetId="6" r:id="rId9"/>
    <sheet state="visible" name="D06" sheetId="7" r:id="rId10"/>
    <sheet state="visible" name="D07" sheetId="8" r:id="rId11"/>
    <sheet state="visible" name="D08" sheetId="9" r:id="rId12"/>
    <sheet state="visible" name="D09" sheetId="10" r:id="rId13"/>
    <sheet state="visible" name="D10" sheetId="11" r:id="rId14"/>
    <sheet state="visible" name="FTA" sheetId="12" r:id="rId15"/>
  </sheets>
  <definedNames/>
  <calcPr/>
</workbook>
</file>

<file path=xl/sharedStrings.xml><?xml version="1.0" encoding="utf-8"?>
<sst xmlns="http://schemas.openxmlformats.org/spreadsheetml/2006/main" count="161" uniqueCount="146">
  <si>
    <r>
      <rPr>
        <rFont val="標楷體"/>
        <color theme="1"/>
        <sz val="5.0"/>
      </rPr>
      <t>充電電壓設定不當</t>
    </r>
  </si>
  <si>
    <t>Impact 01</t>
  </si>
  <si>
    <t>Impact 02</t>
  </si>
  <si>
    <t>Impact 05</t>
  </si>
  <si>
    <t>AND</t>
  </si>
  <si>
    <r>
      <rPr>
        <rFont val="標楷體"/>
        <color theme="1"/>
        <sz val="5.0"/>
      </rPr>
      <t>充電電壓設定不當</t>
    </r>
  </si>
  <si>
    <t>Impact 03</t>
  </si>
  <si>
    <t>Impact 04</t>
  </si>
  <si>
    <t>Impact 06</t>
  </si>
  <si>
    <r>
      <rPr>
        <rFont val="標楷體"/>
        <color theme="1"/>
        <sz val="5.0"/>
      </rPr>
      <t>充電電壓控制器故障</t>
    </r>
  </si>
  <si>
    <t>Impact 07</t>
  </si>
  <si>
    <r>
      <rPr>
        <rFont val="標楷體"/>
        <color theme="1"/>
        <sz val="5.0"/>
      </rPr>
      <t>過電壓保護設定不當</t>
    </r>
  </si>
  <si>
    <t>Impact 08</t>
  </si>
  <si>
    <r>
      <rPr>
        <rFont val="標楷體"/>
        <color theme="1"/>
        <sz val="5.0"/>
      </rPr>
      <t>充電電壓設定不當</t>
    </r>
  </si>
  <si>
    <t>Impact 09</t>
  </si>
  <si>
    <r>
      <rPr>
        <rFont val="標楷體"/>
        <color theme="1"/>
        <sz val="5.0"/>
      </rPr>
      <t>過電壓保護裝置故障</t>
    </r>
  </si>
  <si>
    <t>Impact 10</t>
  </si>
  <si>
    <t>Impact 11</t>
  </si>
  <si>
    <r>
      <rPr>
        <rFont val="標楷體"/>
        <color theme="1"/>
        <sz val="5.0"/>
      </rPr>
      <t>充電電流設定不當</t>
    </r>
  </si>
  <si>
    <r>
      <rPr>
        <rFont val="標楷體"/>
        <color theme="1"/>
        <sz val="5.0"/>
      </rPr>
      <t>充電電壓設定不當</t>
    </r>
  </si>
  <si>
    <t>Impact 12</t>
  </si>
  <si>
    <t>Impact 13</t>
  </si>
  <si>
    <r>
      <rPr>
        <rFont val="標楷體"/>
        <color theme="1"/>
        <sz val="5.0"/>
      </rPr>
      <t>充電電流控制器故障</t>
    </r>
  </si>
  <si>
    <t>Impact 14</t>
  </si>
  <si>
    <t>Impact 16</t>
  </si>
  <si>
    <t>Impact 15</t>
  </si>
  <si>
    <t>Impact 17</t>
  </si>
  <si>
    <r>
      <rPr>
        <rFont val="標楷體"/>
        <color theme="1"/>
        <sz val="5.0"/>
      </rPr>
      <t>過電流保護設定不當</t>
    </r>
  </si>
  <si>
    <t>Impact 18</t>
  </si>
  <si>
    <r>
      <rPr>
        <rFont val="標楷體"/>
        <color theme="1"/>
        <sz val="5.0"/>
      </rPr>
      <t>充電電壓設定不當</t>
    </r>
  </si>
  <si>
    <t>Impact 19</t>
  </si>
  <si>
    <r>
      <rPr>
        <rFont val="標楷體"/>
        <color theme="1"/>
        <sz val="5.0"/>
      </rPr>
      <t>過電流保護裝置故障</t>
    </r>
  </si>
  <si>
    <t>Impact 20</t>
  </si>
  <si>
    <r>
      <rPr>
        <rFont val="標楷體"/>
        <color theme="1"/>
        <sz val="5.0"/>
      </rPr>
      <t>充電上限設定不當</t>
    </r>
  </si>
  <si>
    <t>Impact 21</t>
  </si>
  <si>
    <r>
      <rPr>
        <rFont val="標楷體"/>
        <color theme="1"/>
        <sz val="5.0"/>
      </rPr>
      <t>充電電壓設定不當</t>
    </r>
  </si>
  <si>
    <t>Impact 22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</si>
  <si>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1-c1-2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</si>
  <si>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充電上限控制器故障</t>
    </r>
  </si>
  <si>
    <t>Impact 23</t>
  </si>
  <si>
    <t>Impact 24</t>
  </si>
  <si>
    <t>Impact 25</t>
  </si>
  <si>
    <t>P(24)=1.156%</t>
  </si>
  <si>
    <t>P(25)=1.451%</t>
  </si>
  <si>
    <r>
      <rPr>
        <rFont val="Times New Roman"/>
        <color rgb="FF0000FF"/>
        <sz val="5.0"/>
      </rPr>
      <t>6-5-</t>
    </r>
    <r>
      <rPr>
        <rFont val="標楷體"/>
        <color rgb="FF0000FF"/>
        <sz val="5.0"/>
      </rPr>
      <t>未發生模組熱失控傳播現象</t>
    </r>
  </si>
  <si>
    <t>Impact 26</t>
  </si>
  <si>
    <t>Impact 28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</si>
  <si>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1-c2-1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</si>
  <si>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過充電保護設定不當</t>
    </r>
  </si>
  <si>
    <t>R053=59.0% ~ 65.2%</t>
  </si>
  <si>
    <t>P(26)=0.496%</t>
  </si>
  <si>
    <t>Impact 27</t>
  </si>
  <si>
    <r>
      <rPr>
        <rFont val="標楷體"/>
        <color theme="1"/>
        <sz val="5.0"/>
      </rPr>
      <t>充電電壓設定不當</t>
    </r>
  </si>
  <si>
    <r>
      <rPr>
        <rFont val="標楷體"/>
        <color theme="1"/>
        <sz val="5.0"/>
      </rPr>
      <t>頂層事件</t>
    </r>
    <r>
      <rPr>
        <rFont val="Times New Roman"/>
        <color theme="1"/>
        <sz val="5.0"/>
      </rPr>
      <t>(Top Event )</t>
    </r>
  </si>
  <si>
    <t>P(27)=0.184%</t>
  </si>
  <si>
    <t>Impact 29</t>
  </si>
  <si>
    <r>
      <rPr>
        <rFont val="標楷體"/>
        <color theme="1"/>
        <sz val="5.0"/>
      </rPr>
      <t>電芯內部溫度異常</t>
    </r>
  </si>
  <si>
    <r>
      <rPr>
        <rFont val="Times New Roman"/>
        <color rgb="FF0000FF"/>
        <sz val="5.0"/>
      </rPr>
      <t>T</t>
    </r>
    <r>
      <rPr>
        <rFont val="Times New Roman"/>
        <color rgb="FF0000FF"/>
        <sz val="5.0"/>
        <vertAlign val="subscript"/>
      </rPr>
      <t>1</t>
    </r>
  </si>
  <si>
    <r>
      <rPr>
        <rFont val="標楷體"/>
        <color theme="1"/>
        <sz val="5.0"/>
      </rPr>
      <t>電芯溫度或壓力達危險界限</t>
    </r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Top</t>
    </r>
    <r>
      <rPr>
        <rFont val="Times New Roman"/>
        <color theme="1"/>
        <sz val="5.0"/>
      </rPr>
      <t>(t)
The Temperature or Pressure of the Cell Reaches Dangerous Levels</t>
    </r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</si>
  <si>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1-c2-2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</si>
  <si>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過充電保護裝置故障</t>
    </r>
  </si>
  <si>
    <t>OR</t>
  </si>
  <si>
    <r>
      <rPr>
        <rFont val="Times New Roman"/>
        <color rgb="FFFF0000"/>
        <sz val="5.0"/>
      </rPr>
      <t>6-6-</t>
    </r>
    <r>
      <rPr>
        <rFont val="標楷體"/>
        <color rgb="FFFF0000"/>
        <sz val="5.0"/>
      </rPr>
      <t>發生模組熱失控傳播現象</t>
    </r>
  </si>
  <si>
    <t>Impact 30</t>
  </si>
  <si>
    <t>R054=34.8% ~ 41.0%</t>
  </si>
  <si>
    <r>
      <rPr>
        <rFont val="標楷體"/>
        <color theme="1"/>
        <sz val="5.0"/>
      </rPr>
      <t>溫度保護機制失效</t>
    </r>
  </si>
  <si>
    <r>
      <rPr>
        <rFont val="Times New Roman"/>
        <color rgb="FF0000FF"/>
        <sz val="5.0"/>
      </rPr>
      <t>T</t>
    </r>
    <r>
      <rPr>
        <rFont val="Times New Roman"/>
        <color rgb="FF0000FF"/>
        <sz val="5.0"/>
        <vertAlign val="subscript"/>
      </rPr>
      <t>2</t>
    </r>
  </si>
  <si>
    <t>Impact 31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</si>
  <si>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1-d1-1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</si>
  <si>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充電下限設定不當</t>
    </r>
  </si>
  <si>
    <r>
      <rPr>
        <rFont val="Times New Roman"/>
        <color rgb="FF0000FF"/>
        <sz val="5.0"/>
      </rPr>
      <t>F</t>
    </r>
    <r>
      <rPr>
        <rFont val="Times New Roman"/>
        <color rgb="FF0000FF"/>
        <sz val="5.0"/>
        <vertAlign val="subscript"/>
      </rPr>
      <t>req.Ann</t>
    </r>
    <r>
      <rPr>
        <rFont val="Times New Roman"/>
        <color rgb="FF0000FF"/>
        <sz val="5.0"/>
      </rPr>
      <t xml:space="preserve"> (Annual Frequency) =</t>
    </r>
  </si>
  <si>
    <t>Impact 32</t>
  </si>
  <si>
    <r>
      <rPr>
        <rFont val="標楷體"/>
        <color theme="1"/>
        <sz val="5.0"/>
      </rPr>
      <t>充電電壓設定不當</t>
    </r>
  </si>
  <si>
    <r>
      <rPr>
        <rFont val="標楷體"/>
        <color theme="1"/>
        <sz val="5.0"/>
      </rPr>
      <t>電芯內部溫度異常</t>
    </r>
  </si>
  <si>
    <t>Impact 33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</si>
  <si>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1-d1-2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</si>
  <si>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充電下限控制器故障</t>
    </r>
  </si>
  <si>
    <t>Impact 34</t>
  </si>
  <si>
    <r>
      <rPr>
        <rFont val="標楷體"/>
        <color theme="1"/>
        <sz val="5.0"/>
      </rPr>
      <t>溫度保護機制失效</t>
    </r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</si>
  <si>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1-d2-1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</si>
  <si>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過放電保護設定不當</t>
    </r>
  </si>
  <si>
    <t>Impact 35</t>
  </si>
  <si>
    <t>Impact 36</t>
  </si>
  <si>
    <r>
      <rPr>
        <rFont val="標楷體"/>
        <color theme="1"/>
        <sz val="5.0"/>
      </rPr>
      <t>充電電壓設定不當</t>
    </r>
  </si>
  <si>
    <t>Impact 37</t>
  </si>
  <si>
    <t>Impact 39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</si>
  <si>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1-d2-2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</si>
  <si>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過放電保護裝置故障</t>
    </r>
  </si>
  <si>
    <t>Impact 38</t>
  </si>
  <si>
    <t>Impact 40</t>
  </si>
  <si>
    <t>Impact 41</t>
  </si>
  <si>
    <r>
      <rPr>
        <rFont val="標楷體"/>
        <color theme="1"/>
        <sz val="5.0"/>
      </rPr>
      <t>電芯內部電阻異常</t>
    </r>
  </si>
  <si>
    <t>Impact 42</t>
  </si>
  <si>
    <t>Impact 43</t>
  </si>
  <si>
    <t>Impact 44</t>
  </si>
  <si>
    <r>
      <rPr>
        <rFont val="標楷體"/>
        <color theme="1"/>
        <sz val="5.0"/>
      </rPr>
      <t>電池散熱裝置故障</t>
    </r>
  </si>
  <si>
    <t>Impact 45</t>
  </si>
  <si>
    <t>Impact 46</t>
  </si>
  <si>
    <t>Impact 47</t>
  </si>
  <si>
    <t>Impact 48</t>
  </si>
  <si>
    <t>Impact 49</t>
  </si>
  <si>
    <t>Impact 51</t>
  </si>
  <si>
    <t>Impact 50</t>
  </si>
  <si>
    <t>Impact 52</t>
  </si>
  <si>
    <t>Impact 53</t>
  </si>
  <si>
    <t>Impact 54</t>
  </si>
  <si>
    <t>Impact 55</t>
  </si>
  <si>
    <t>Impact 56</t>
  </si>
  <si>
    <t>Impact 57</t>
  </si>
  <si>
    <t>Impact 58</t>
  </si>
  <si>
    <t>Impact 59</t>
  </si>
  <si>
    <t>Impact 60</t>
  </si>
  <si>
    <t>Impact 62</t>
  </si>
  <si>
    <t>Impact 61</t>
  </si>
  <si>
    <t>Impact 63</t>
  </si>
  <si>
    <t>Impact 64</t>
  </si>
  <si>
    <t>Impact 65</t>
  </si>
  <si>
    <t>Impact 66</t>
  </si>
  <si>
    <t>Impact 67</t>
  </si>
  <si>
    <t>Impact 68</t>
  </si>
  <si>
    <t>Impact 69</t>
  </si>
  <si>
    <t>Impact 70</t>
  </si>
  <si>
    <t>Impact 71</t>
  </si>
  <si>
    <t>Impact 72</t>
  </si>
  <si>
    <t>Impact 74</t>
  </si>
  <si>
    <t>Impact 73</t>
  </si>
  <si>
    <t>Impact 75</t>
  </si>
  <si>
    <t>Impact 76</t>
  </si>
  <si>
    <t>Impact 77</t>
  </si>
  <si>
    <t>Impact 78</t>
  </si>
  <si>
    <t>Impact 79</t>
  </si>
  <si>
    <t>Impact 80</t>
  </si>
  <si>
    <t>Impact 81</t>
  </si>
  <si>
    <t>Impact 82</t>
  </si>
  <si>
    <t>Impact 83</t>
  </si>
  <si>
    <t>Impact 85</t>
  </si>
  <si>
    <t>Impact 84</t>
  </si>
  <si>
    <t>Impact 86</t>
  </si>
  <si>
    <t>Impact 87</t>
  </si>
  <si>
    <t>Impact 88</t>
  </si>
  <si>
    <t>Impact 89</t>
  </si>
  <si>
    <t>Impact 90</t>
  </si>
  <si>
    <t>Impact 91</t>
  </si>
  <si>
    <t>Impact 92</t>
  </si>
  <si>
    <t>1-2-值班室或EWCS未通報電池異常</t>
  </si>
  <si>
    <t>R092=45.8% ~ 51.0%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</si>
</sst>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00%"/>
  </numFmts>
  <fonts count="9">
    <font>
      <sz val="12.0"/>
      <color theme="1"/>
      <name val="Aptos Narrow"/>
      <scheme val="minor"/>
    </font>
    <font>
      <sz val="5.0"/>
      <color theme="1"/>
      <name val="Times New Roman"/>
    </font>
    <font>
      <sz val="5.0"/>
      <color rgb="FF0000FF"/>
      <name val="Times New Roman"/>
    </font>
    <font>
      <sz val="5.0"/>
      <color theme="1"/>
      <name val="PMingLiu"/>
    </font>
    <font/>
    <font>
      <sz val="5.0"/>
      <color rgb="FFFF0000"/>
      <name val="Times New Roman"/>
    </font>
    <font>
      <color theme="1"/>
      <name val="Aptos Narrow"/>
      <scheme val="minor"/>
    </font>
    <font>
      <sz val="6.0"/>
      <color theme="1"/>
      <name val="Times New Roman"/>
    </font>
    <font>
      <sz val="6.0"/>
      <color rgb="FF0000FF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FCCCC"/>
        <bgColor rgb="FFFFCCCC"/>
      </patternFill>
    </fill>
    <fill>
      <patternFill patternType="solid">
        <fgColor rgb="FFFF8B8B"/>
        <bgColor rgb="FFFF8B8B"/>
      </patternFill>
    </fill>
    <fill>
      <patternFill patternType="solid">
        <fgColor rgb="FFFFDD71"/>
        <bgColor rgb="FFFFDD71"/>
      </patternFill>
    </fill>
  </fills>
  <borders count="15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bottom"/>
    </xf>
    <xf borderId="0" fillId="0" fontId="2" numFmtId="164" xfId="0" applyAlignment="1" applyFont="1" applyNumberFormat="1">
      <alignment horizontal="center" vertical="center"/>
    </xf>
    <xf borderId="0" fillId="0" fontId="3" numFmtId="0" xfId="0" applyAlignment="1" applyFont="1">
      <alignment vertical="center"/>
    </xf>
    <xf borderId="1" fillId="0" fontId="1" numFmtId="0" xfId="0" applyAlignment="1" applyBorder="1" applyFont="1">
      <alignment horizontal="center" vertical="bottom"/>
    </xf>
    <xf borderId="2" fillId="2" fontId="1" numFmtId="0" xfId="0" applyAlignment="1" applyBorder="1" applyFill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7" fillId="0" fontId="2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" fillId="0" fontId="2" numFmtId="164" xfId="0" applyAlignment="1" applyBorder="1" applyFont="1" applyNumberFormat="1">
      <alignment horizontal="center" vertical="top"/>
    </xf>
    <xf borderId="10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readingOrder="0" vertical="center"/>
    </xf>
    <xf borderId="3" fillId="0" fontId="1" numFmtId="0" xfId="0" applyAlignment="1" applyBorder="1" applyFont="1">
      <alignment horizontal="center" vertical="bottom"/>
    </xf>
    <xf borderId="11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12" fillId="0" fontId="4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1" fillId="0" fontId="2" numFmtId="10" xfId="0" applyAlignment="1" applyBorder="1" applyFont="1" applyNumberFormat="1">
      <alignment horizontal="center" vertical="top"/>
    </xf>
    <xf borderId="8" fillId="0" fontId="1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right" vertical="top"/>
    </xf>
    <xf borderId="0" fillId="0" fontId="1" numFmtId="0" xfId="0" applyAlignment="1" applyFont="1">
      <alignment horizontal="right" vertical="center"/>
    </xf>
    <xf borderId="1" fillId="0" fontId="1" numFmtId="0" xfId="0" applyAlignment="1" applyBorder="1" applyFont="1">
      <alignment horizontal="right" vertical="top"/>
    </xf>
    <xf borderId="3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right" vertical="center"/>
    </xf>
    <xf borderId="0" fillId="0" fontId="1" numFmtId="0" xfId="0" applyAlignment="1" applyFont="1">
      <alignment horizontal="center" vertical="bottom"/>
    </xf>
    <xf borderId="2" fillId="3" fontId="1" numFmtId="0" xfId="0" applyAlignment="1" applyBorder="1" applyFill="1" applyFont="1">
      <alignment horizontal="center" vertical="center"/>
    </xf>
    <xf borderId="0" fillId="0" fontId="2" numFmtId="0" xfId="0" applyAlignment="1" applyFont="1">
      <alignment horizontal="center" vertical="bottom"/>
    </xf>
    <xf borderId="7" fillId="4" fontId="1" numFmtId="0" xfId="0" applyAlignment="1" applyBorder="1" applyFill="1" applyFont="1">
      <alignment horizontal="center" shrinkToFit="0" vertical="center" wrapText="1"/>
    </xf>
    <xf borderId="12" fillId="0" fontId="1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13" fillId="0" fontId="1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0" fillId="0" fontId="2" numFmtId="10" xfId="0" applyAlignment="1" applyFont="1" applyNumberFormat="1">
      <alignment horizontal="center" vertical="top"/>
    </xf>
    <xf borderId="8" fillId="0" fontId="2" numFmtId="165" xfId="0" applyAlignment="1" applyBorder="1" applyFont="1" applyNumberFormat="1">
      <alignment horizontal="center" vertical="top"/>
    </xf>
    <xf borderId="6" fillId="3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2" fillId="0" fontId="2" numFmtId="10" xfId="0" applyAlignment="1" applyBorder="1" applyFont="1" applyNumberFormat="1">
      <alignment horizontal="center" vertical="top"/>
    </xf>
    <xf borderId="3" fillId="0" fontId="2" numFmtId="165" xfId="0" applyAlignment="1" applyBorder="1" applyFont="1" applyNumberFormat="1">
      <alignment horizontal="center" vertical="top"/>
    </xf>
    <xf borderId="9" fillId="0" fontId="2" numFmtId="0" xfId="0" applyAlignment="1" applyBorder="1" applyFont="1">
      <alignment horizontal="right" vertical="center"/>
    </xf>
    <xf borderId="9" fillId="0" fontId="2" numFmtId="165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horizontal="right" vertical="bottom"/>
    </xf>
    <xf borderId="2" fillId="5" fontId="1" numFmtId="0" xfId="0" applyAlignment="1" applyBorder="1" applyFill="1" applyFont="1">
      <alignment horizontal="center" shrinkToFit="0" vertical="center" wrapText="1"/>
    </xf>
    <xf borderId="6" fillId="0" fontId="2" numFmtId="164" xfId="0" applyAlignment="1" applyBorder="1" applyFont="1" applyNumberFormat="1">
      <alignment horizontal="center" vertical="top"/>
    </xf>
    <xf borderId="2" fillId="5" fontId="1" numFmtId="0" xfId="0" applyAlignment="1" applyBorder="1" applyFont="1">
      <alignment horizontal="center" vertical="center"/>
    </xf>
    <xf borderId="0" fillId="0" fontId="2" numFmtId="164" xfId="0" applyAlignment="1" applyFont="1" applyNumberFormat="1">
      <alignment horizontal="center" vertical="top"/>
    </xf>
    <xf borderId="2" fillId="4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top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horizontal="center" vertical="bottom"/>
    </xf>
    <xf borderId="1" fillId="0" fontId="7" numFmtId="0" xfId="0" applyAlignment="1" applyBorder="1" applyFont="1">
      <alignment horizontal="center" vertical="center"/>
    </xf>
    <xf borderId="2" fillId="2" fontId="7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vertical="center"/>
    </xf>
    <xf borderId="2" fillId="3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bottom"/>
    </xf>
    <xf borderId="7" fillId="4" fontId="7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10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right" vertical="center"/>
    </xf>
    <xf borderId="7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vertical="center"/>
    </xf>
    <xf borderId="0" fillId="0" fontId="2" numFmtId="10" xfId="0" applyAlignment="1" applyFont="1" applyNumberFormat="1">
      <alignment horizontal="center" vertical="center"/>
    </xf>
    <xf borderId="1" fillId="0" fontId="2" numFmtId="165" xfId="0" applyAlignment="1" applyBorder="1" applyFont="1" applyNumberFormat="1">
      <alignment horizontal="center" vertical="center"/>
    </xf>
    <xf borderId="12" fillId="0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1" fillId="0" fontId="2" numFmtId="10" xfId="0" applyAlignment="1" applyBorder="1" applyFont="1" applyNumberFormat="1">
      <alignment horizontal="center" vertical="center"/>
    </xf>
    <xf borderId="6" fillId="0" fontId="7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2" fillId="0" fontId="2" numFmtId="10" xfId="0" applyAlignment="1" applyBorder="1" applyFont="1" applyNumberFormat="1">
      <alignment horizontal="center" vertical="center"/>
    </xf>
    <xf borderId="3" fillId="0" fontId="2" numFmtId="165" xfId="0" applyAlignment="1" applyBorder="1" applyFont="1" applyNumberFormat="1">
      <alignment horizontal="center" vertical="center"/>
    </xf>
    <xf borderId="8" fillId="0" fontId="7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right" vertical="center"/>
    </xf>
    <xf borderId="0" fillId="0" fontId="8" numFmtId="0" xfId="0" applyAlignment="1" applyFont="1">
      <alignment horizontal="right" vertical="center"/>
    </xf>
    <xf borderId="0" fillId="0" fontId="7" numFmtId="0" xfId="0" applyAlignment="1" applyFont="1">
      <alignment horizontal="right" vertical="top"/>
    </xf>
    <xf borderId="0" fillId="0" fontId="7" numFmtId="0" xfId="0" applyAlignment="1" applyFont="1">
      <alignment horizontal="right" vertical="center"/>
    </xf>
    <xf borderId="1" fillId="0" fontId="7" numFmtId="0" xfId="0" applyAlignment="1" applyBorder="1" applyFont="1">
      <alignment horizontal="right" vertical="center"/>
    </xf>
    <xf borderId="2" fillId="5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right" vertical="top"/>
    </xf>
    <xf borderId="2" fillId="5" fontId="7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4" fillId="0" fontId="7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0"/>
    <col customWidth="1" min="2" max="2" width="7.56"/>
    <col customWidth="1" min="3" max="3" width="0.78"/>
    <col customWidth="1" min="4" max="4" width="2.56"/>
    <col customWidth="1" min="5" max="5" width="3.33"/>
    <col customWidth="1" min="6" max="6" width="6.78"/>
    <col customWidth="1" min="7" max="8" width="0.78"/>
    <col customWidth="1" min="9" max="9" width="3.0"/>
    <col customWidth="1" min="10" max="14" width="0.33"/>
    <col customWidth="1" min="15" max="15" width="3.0"/>
    <col customWidth="1" min="16" max="16" width="0.67"/>
    <col customWidth="1" min="17" max="17" width="3.33"/>
    <col customWidth="1" min="18" max="18" width="6.78"/>
    <col customWidth="1" min="19" max="19" width="0.78"/>
    <col customWidth="1" min="20" max="20" width="3.0"/>
    <col customWidth="1" min="21" max="21" width="0.78"/>
    <col customWidth="1" min="22" max="22" width="3.22"/>
    <col customWidth="1" min="23" max="23" width="3.0"/>
    <col customWidth="1" min="24" max="24" width="0.78"/>
    <col customWidth="1" min="25" max="25" width="12.0"/>
    <col customWidth="1" min="26" max="26" width="3.22"/>
    <col customWidth="1" min="27" max="27" width="1.22"/>
    <col customWidth="1" min="28" max="28" width="12.33"/>
    <col customWidth="1" min="29" max="29" width="8.0"/>
    <col customWidth="1" min="30" max="30" width="9.11"/>
    <col customWidth="1" min="31" max="33" width="8.0"/>
    <col customWidth="1" min="34" max="34" width="8.78"/>
    <col customWidth="1" min="35" max="35" width="8.0"/>
    <col customWidth="1" min="36" max="36" width="11.33"/>
    <col customWidth="1" min="37" max="37" width="8.22"/>
    <col customWidth="1" min="38" max="38" width="11.33"/>
    <col customWidth="1" min="39" max="39" width="8.0"/>
    <col customWidth="1" min="40" max="40" width="12.11"/>
    <col customWidth="1" min="41" max="41" width="8.56"/>
    <col customWidth="1" min="42" max="42" width="10.44"/>
    <col customWidth="1" min="43" max="43" width="8.11"/>
    <col customWidth="1" min="44" max="44" width="11.33"/>
    <col customWidth="1" min="45" max="45" width="15.44"/>
    <col customWidth="1" min="46" max="46" width="5.22"/>
  </cols>
  <sheetData>
    <row r="1" ht="6.0" customHeight="1">
      <c r="A1" s="1"/>
      <c r="B1" s="2"/>
      <c r="C1" s="1"/>
      <c r="D1" s="1"/>
      <c r="E1" s="3"/>
      <c r="F1" s="2"/>
      <c r="G1" s="2"/>
      <c r="H1" s="1"/>
      <c r="I1" s="1"/>
      <c r="J1" s="1"/>
      <c r="K1" s="1"/>
      <c r="L1" s="1"/>
      <c r="M1" s="1"/>
      <c r="N1" s="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ht="6.0" customHeight="1">
      <c r="A2" s="5" t="str">
        <f>FTA!A2</f>
        <v>F1-a1-1(t)</v>
      </c>
      <c r="B2" s="6" t="s">
        <v>0</v>
      </c>
      <c r="C2" s="7"/>
      <c r="D2" s="1"/>
      <c r="F2" s="1"/>
      <c r="G2" s="1"/>
      <c r="H2" s="1"/>
      <c r="I2" s="1"/>
      <c r="J2" s="1"/>
      <c r="K2" s="1"/>
      <c r="L2" s="1"/>
      <c r="M2" s="1"/>
      <c r="N2" s="1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"/>
      <c r="AB2" s="1"/>
      <c r="AC2" s="1"/>
      <c r="AD2" s="1"/>
      <c r="AE2" s="1"/>
      <c r="AF2" s="8" t="str">
        <f>'D10'!H2</f>
        <v>3-1-電芯未發生熱失控</v>
      </c>
      <c r="AG2" s="9"/>
      <c r="AH2" s="10" t="s">
        <v>1</v>
      </c>
      <c r="AI2" s="1"/>
      <c r="AJ2" s="8" t="str">
        <f>'D10'!L2</f>
        <v>5-1-未發生電芯熱失控傳播現象</v>
      </c>
      <c r="AK2" s="9"/>
      <c r="AL2" s="10" t="s">
        <v>2</v>
      </c>
      <c r="AM2" s="1"/>
      <c r="AN2" s="1"/>
      <c r="AO2" s="1"/>
      <c r="AP2" s="1"/>
      <c r="AQ2" s="1"/>
      <c r="AR2" s="1"/>
      <c r="AS2" s="1"/>
      <c r="AT2" s="1"/>
    </row>
    <row r="3" ht="6.0" customHeight="1">
      <c r="A3" s="11"/>
      <c r="B3" s="12"/>
      <c r="C3" s="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"/>
      <c r="AB3" s="1"/>
      <c r="AC3" s="1"/>
      <c r="AD3" s="1"/>
      <c r="AE3" s="1"/>
      <c r="AF3" s="13" t="str">
        <f>'D10'!H3</f>
        <v>R003=75.2% ~ 83.2%</v>
      </c>
      <c r="AG3" s="14"/>
      <c r="AH3" s="10" t="str">
        <f>'D10'!J3</f>
        <v>P(01)=35.75%</v>
      </c>
      <c r="AI3" s="1"/>
      <c r="AJ3" s="13" t="str">
        <f>'D10'!L3</f>
        <v>R006=61.1% ~ 67.5%</v>
      </c>
      <c r="AK3" s="15"/>
      <c r="AL3" s="10" t="str">
        <f>'D10'!N3</f>
        <v>P(02)=1.570%</v>
      </c>
      <c r="AM3" s="1"/>
      <c r="AN3" s="1"/>
      <c r="AO3" s="1"/>
      <c r="AP3" s="1"/>
      <c r="AQ3" s="1"/>
      <c r="AR3" s="1"/>
      <c r="AS3" s="8" t="str">
        <f>'D10'!U3</f>
        <v>10-1-熱煙或毒性氣體未危害至儲能空間以外</v>
      </c>
      <c r="AT3" s="10" t="s">
        <v>3</v>
      </c>
    </row>
    <row r="4" ht="6.0" customHeight="1">
      <c r="A4" s="16">
        <f>FTA!A4</f>
        <v>0.119</v>
      </c>
      <c r="B4" s="12"/>
      <c r="C4" s="17"/>
      <c r="D4" s="18" t="s">
        <v>4</v>
      </c>
      <c r="E4" s="19" t="str">
        <f>FTA!E4</f>
        <v>F1-a1(t)</v>
      </c>
      <c r="F4" s="6" t="s">
        <v>5</v>
      </c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"/>
      <c r="AB4" s="1"/>
      <c r="AC4" s="1"/>
      <c r="AD4" s="1"/>
      <c r="AE4" s="1"/>
      <c r="AF4" s="7"/>
      <c r="AG4" s="1"/>
      <c r="AH4" s="8" t="str">
        <f>'D10'!J4</f>
        <v>4-1-通風排出裝置啟動</v>
      </c>
      <c r="AI4" s="20"/>
      <c r="AJ4" s="7"/>
      <c r="AK4" s="1"/>
      <c r="AL4" s="8" t="str">
        <f>'D10'!N4</f>
        <v>6-1-未發生模組熱失控傳播現象</v>
      </c>
      <c r="AM4" s="9"/>
      <c r="AN4" s="10" t="s">
        <v>6</v>
      </c>
      <c r="AO4" s="1"/>
      <c r="AP4" s="1"/>
      <c r="AQ4" s="1"/>
      <c r="AR4" s="1"/>
      <c r="AS4" s="13" t="str">
        <f>'D10'!U4</f>
        <v>R014=56.6% ~ 62.6%</v>
      </c>
      <c r="AT4" s="10" t="str">
        <f>'D10'!V4</f>
        <v>P(05)=0.011%</v>
      </c>
    </row>
    <row r="5" ht="6.0" customHeight="1">
      <c r="A5" s="11"/>
      <c r="B5" s="21"/>
      <c r="C5" s="22"/>
      <c r="D5" s="12"/>
      <c r="E5" s="23"/>
      <c r="F5" s="12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"/>
      <c r="AB5" s="1"/>
      <c r="AC5" s="1"/>
      <c r="AD5" s="1"/>
      <c r="AE5" s="1"/>
      <c r="AF5" s="7"/>
      <c r="AG5" s="24"/>
      <c r="AH5" s="25" t="str">
        <f>'D10'!J5</f>
        <v>R005=25.0% ~ 27.6%</v>
      </c>
      <c r="AI5" s="14"/>
      <c r="AJ5" s="7"/>
      <c r="AK5" s="1"/>
      <c r="AL5" s="13" t="str">
        <f>'D10'!N5</f>
        <v>R008=70.0% ~ 77.3%</v>
      </c>
      <c r="AM5" s="15"/>
      <c r="AN5" s="10" t="str">
        <f>'D10'!P5</f>
        <v>P(03)=0.647%</v>
      </c>
      <c r="AO5" s="1"/>
      <c r="AP5" s="1"/>
      <c r="AQ5" s="1"/>
      <c r="AR5" s="8" t="str">
        <f>'D10'!T5</f>
        <v>9-1-消防系統有效發揮冷卻作用</v>
      </c>
      <c r="AS5" s="26"/>
      <c r="AT5" s="1"/>
    </row>
    <row r="6" ht="6.0" customHeight="1">
      <c r="A6" s="27"/>
      <c r="B6" s="1"/>
      <c r="C6" s="1"/>
      <c r="D6" s="12"/>
      <c r="E6" s="28">
        <f>FTA!E6</f>
        <v>0.015232</v>
      </c>
      <c r="F6" s="12"/>
      <c r="G6" s="29"/>
      <c r="H6" s="1"/>
      <c r="I6" s="1"/>
      <c r="J6" s="1"/>
      <c r="K6" s="1"/>
      <c r="L6" s="1"/>
      <c r="M6" s="1"/>
      <c r="N6" s="1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"/>
      <c r="AB6" s="1"/>
      <c r="AC6" s="1"/>
      <c r="AD6" s="1"/>
      <c r="AE6" s="1"/>
      <c r="AF6" s="7"/>
      <c r="AG6" s="24"/>
      <c r="AH6" s="1"/>
      <c r="AI6" s="1"/>
      <c r="AJ6" s="30" t="str">
        <f>'D10'!L6</f>
        <v>5-2-發生電芯熱失控傳播現象</v>
      </c>
      <c r="AK6" s="20"/>
      <c r="AL6" s="7"/>
      <c r="AM6" s="1"/>
      <c r="AN6" s="8" t="str">
        <f>'D10'!P6</f>
        <v>7-1-未發生電池櫃熱失控傳播現象</v>
      </c>
      <c r="AO6" s="9"/>
      <c r="AP6" s="10" t="s">
        <v>7</v>
      </c>
      <c r="AQ6" s="1"/>
      <c r="AR6" s="13" t="str">
        <f>'D10'!T6</f>
        <v>R013=63.2% ~ 69.9%</v>
      </c>
      <c r="AS6" s="30" t="str">
        <f>'D10'!U6</f>
        <v>10-2-熱煙或毒性氣體危害至儲能空間以外</v>
      </c>
      <c r="AT6" s="10" t="s">
        <v>8</v>
      </c>
    </row>
    <row r="7" ht="6.0" customHeight="1">
      <c r="A7" s="5" t="str">
        <f>FTA!A7</f>
        <v>F1-a1-2(t)</v>
      </c>
      <c r="B7" s="6" t="s">
        <v>9</v>
      </c>
      <c r="C7" s="17"/>
      <c r="D7" s="12"/>
      <c r="E7" s="11"/>
      <c r="F7" s="21"/>
      <c r="G7" s="24"/>
      <c r="H7" s="1"/>
      <c r="I7" s="1"/>
      <c r="J7" s="1"/>
      <c r="K7" s="1"/>
      <c r="L7" s="1"/>
      <c r="M7" s="1"/>
      <c r="N7" s="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1"/>
      <c r="AB7" s="1"/>
      <c r="AC7" s="1"/>
      <c r="AD7" s="31"/>
      <c r="AE7" s="1"/>
      <c r="AF7" s="7"/>
      <c r="AG7" s="24"/>
      <c r="AH7" s="1"/>
      <c r="AI7" s="1"/>
      <c r="AJ7" s="32" t="str">
        <f>'D10'!L7</f>
        <v>R007=32.5% ~ 38.9%</v>
      </c>
      <c r="AK7" s="14"/>
      <c r="AL7" s="7"/>
      <c r="AM7" s="1"/>
      <c r="AN7" s="13" t="str">
        <f>'D10'!P7</f>
        <v>R010=73.1% ~ 80.8%</v>
      </c>
      <c r="AO7" s="15"/>
      <c r="AP7" s="10" t="str">
        <f>'D10'!R7</f>
        <v>P(04)=0.178%</v>
      </c>
      <c r="AQ7" s="1"/>
      <c r="AR7" s="7"/>
      <c r="AS7" s="32" t="str">
        <f>'D10'!U7</f>
        <v>R015=37.4% ~ 43.4%</v>
      </c>
      <c r="AT7" s="10" t="str">
        <f>'D10'!V7</f>
        <v>P(06)=0.007%</v>
      </c>
    </row>
    <row r="8" ht="6.0" customHeight="1">
      <c r="A8" s="11"/>
      <c r="B8" s="12"/>
      <c r="C8" s="22"/>
      <c r="D8" s="21"/>
      <c r="E8" s="1"/>
      <c r="F8" s="1"/>
      <c r="G8" s="24"/>
      <c r="H8" s="1"/>
      <c r="I8" s="22" t="s">
        <v>4</v>
      </c>
      <c r="J8" s="1"/>
      <c r="K8" s="1"/>
      <c r="L8" s="1"/>
      <c r="M8" s="1"/>
      <c r="N8" s="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"/>
      <c r="AB8" s="1"/>
      <c r="AC8" s="1"/>
      <c r="AD8" s="8" t="str">
        <f>'D10'!F8</f>
        <v>2-1-BESS緊急安全關斷</v>
      </c>
      <c r="AE8" s="20"/>
      <c r="AF8" s="7"/>
      <c r="AG8" s="24"/>
      <c r="AH8" s="1"/>
      <c r="AI8" s="1"/>
      <c r="AJ8" s="1"/>
      <c r="AK8" s="1"/>
      <c r="AL8" s="7"/>
      <c r="AM8" s="1"/>
      <c r="AN8" s="7"/>
      <c r="AO8" s="1"/>
      <c r="AP8" s="8" t="str">
        <f>'D10'!R8</f>
        <v>8-1-可燃氣體濃度未達到LFL</v>
      </c>
      <c r="AQ8" s="20"/>
      <c r="AR8" s="7"/>
      <c r="AS8" s="1"/>
      <c r="AT8" s="1"/>
    </row>
    <row r="9" ht="6.0" customHeight="1">
      <c r="A9" s="16">
        <f>FTA!A9</f>
        <v>0.128</v>
      </c>
      <c r="B9" s="12"/>
      <c r="C9" s="7"/>
      <c r="D9" s="1"/>
      <c r="E9" s="1"/>
      <c r="F9" s="1"/>
      <c r="G9" s="24"/>
      <c r="H9" s="33"/>
      <c r="I9" s="12"/>
      <c r="J9" s="1"/>
      <c r="K9" s="1"/>
      <c r="L9" s="1"/>
      <c r="M9" s="1"/>
      <c r="N9" s="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"/>
      <c r="AB9" s="1"/>
      <c r="AC9" s="1"/>
      <c r="AD9" s="13" t="str">
        <f>'D10'!F9</f>
        <v>R002=68.1% ~ 75.2%</v>
      </c>
      <c r="AE9" s="14"/>
      <c r="AF9" s="7"/>
      <c r="AG9" s="24"/>
      <c r="AH9" s="31"/>
      <c r="AI9" s="1"/>
      <c r="AJ9" s="1"/>
      <c r="AK9" s="1"/>
      <c r="AL9" s="30" t="str">
        <f>'D10'!N9</f>
        <v>6-2-發生模組熱失控傳播現象</v>
      </c>
      <c r="AM9" s="20"/>
      <c r="AN9" s="7"/>
      <c r="AO9" s="1"/>
      <c r="AP9" s="13" t="str">
        <f>'D10'!R9</f>
        <v>R012=49.2% ~ 54.4%</v>
      </c>
      <c r="AQ9" s="14"/>
      <c r="AR9" s="7"/>
      <c r="AS9" s="8" t="str">
        <f>'D10'!U9</f>
        <v>10-3-熱煙或毒性氣體未危害至儲能空間以外</v>
      </c>
      <c r="AT9" s="10" t="s">
        <v>10</v>
      </c>
    </row>
    <row r="10" ht="6.0" customHeight="1">
      <c r="A10" s="11"/>
      <c r="B10" s="21"/>
      <c r="C10" s="7"/>
      <c r="D10" s="1"/>
      <c r="E10" s="1"/>
      <c r="F10" s="1"/>
      <c r="G10" s="24"/>
      <c r="H10" s="29"/>
      <c r="I10" s="12"/>
      <c r="J10" s="34"/>
      <c r="K10" s="34"/>
      <c r="L10" s="34"/>
      <c r="M10" s="7"/>
      <c r="N10" s="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1"/>
      <c r="AB10" s="1"/>
      <c r="AC10" s="1"/>
      <c r="AD10" s="7"/>
      <c r="AE10" s="24"/>
      <c r="AF10" s="7"/>
      <c r="AG10" s="24"/>
      <c r="AH10" s="35"/>
      <c r="AI10" s="1"/>
      <c r="AJ10" s="1"/>
      <c r="AK10" s="1"/>
      <c r="AL10" s="32" t="str">
        <f>'D10'!N10</f>
        <v>R009=22.7% ~ 30.0%</v>
      </c>
      <c r="AM10" s="14"/>
      <c r="AN10" s="7"/>
      <c r="AO10" s="1"/>
      <c r="AP10" s="7"/>
      <c r="AQ10" s="1"/>
      <c r="AR10" s="7"/>
      <c r="AS10" s="13" t="str">
        <f>'D10'!U10</f>
        <v>R017=45.3% ~ 50.1%</v>
      </c>
      <c r="AT10" s="10" t="str">
        <f>'D10'!V10</f>
        <v>P(07)=0.004%</v>
      </c>
    </row>
    <row r="11" ht="6.0" customHeight="1">
      <c r="A11" s="36"/>
      <c r="B11" s="37"/>
      <c r="C11" s="1"/>
      <c r="D11" s="1"/>
      <c r="E11" s="38"/>
      <c r="F11" s="1"/>
      <c r="G11" s="24"/>
      <c r="H11" s="1"/>
      <c r="I11" s="12"/>
      <c r="J11" s="1"/>
      <c r="K11" s="1"/>
      <c r="L11" s="1"/>
      <c r="M11" s="7"/>
      <c r="N11" s="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1"/>
      <c r="AB11" s="1"/>
      <c r="AC11" s="1"/>
      <c r="AD11" s="7"/>
      <c r="AE11" s="1"/>
      <c r="AF11" s="7"/>
      <c r="AG11" s="24"/>
      <c r="AH11" s="1"/>
      <c r="AI11" s="1"/>
      <c r="AJ11" s="1"/>
      <c r="AK11" s="1"/>
      <c r="AL11" s="1"/>
      <c r="AM11" s="1"/>
      <c r="AN11" s="7"/>
      <c r="AO11" s="1"/>
      <c r="AP11" s="7"/>
      <c r="AQ11" s="1"/>
      <c r="AR11" s="30" t="str">
        <f>'D10'!T11</f>
        <v>9-2-消防系統無法發揮冷卻作用</v>
      </c>
      <c r="AS11" s="26"/>
      <c r="AT11" s="1"/>
    </row>
    <row r="12" ht="6.0" customHeight="1">
      <c r="A12" s="5" t="str">
        <f>FTA!A12</f>
        <v>F1-a2-1(t)</v>
      </c>
      <c r="B12" s="6" t="s">
        <v>11</v>
      </c>
      <c r="C12" s="7"/>
      <c r="D12" s="1"/>
      <c r="E12" s="38"/>
      <c r="F12" s="1"/>
      <c r="G12" s="24"/>
      <c r="H12" s="1"/>
      <c r="I12" s="21"/>
      <c r="J12" s="1"/>
      <c r="K12" s="1"/>
      <c r="L12" s="1"/>
      <c r="M12" s="7"/>
      <c r="N12" s="1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1"/>
      <c r="AB12" s="1"/>
      <c r="AC12" s="1"/>
      <c r="AD12" s="7"/>
      <c r="AE12" s="1"/>
      <c r="AF12" s="7"/>
      <c r="AG12" s="24"/>
      <c r="AH12" s="1"/>
      <c r="AI12" s="1"/>
      <c r="AJ12" s="1"/>
      <c r="AK12" s="1"/>
      <c r="AL12" s="1"/>
      <c r="AM12" s="1"/>
      <c r="AN12" s="7"/>
      <c r="AO12" s="1"/>
      <c r="AP12" s="7"/>
      <c r="AQ12" s="1"/>
      <c r="AR12" s="32" t="str">
        <f>'D10'!T12</f>
        <v>R016=30.1% ~ 36.8%</v>
      </c>
      <c r="AS12" s="30" t="str">
        <f>'D10'!U12</f>
        <v>10-4-熱煙或毒性氣體危害至儲能空間以外</v>
      </c>
      <c r="AT12" s="10" t="s">
        <v>12</v>
      </c>
    </row>
    <row r="13" ht="6.0" customHeight="1">
      <c r="A13" s="11"/>
      <c r="B13" s="12"/>
      <c r="C13" s="7"/>
      <c r="D13" s="1"/>
      <c r="E13" s="1"/>
      <c r="F13" s="37"/>
      <c r="G13" s="39"/>
      <c r="H13" s="1"/>
      <c r="I13" s="1"/>
      <c r="J13" s="1"/>
      <c r="K13" s="1"/>
      <c r="L13" s="1"/>
      <c r="M13" s="7"/>
      <c r="N13" s="1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1"/>
      <c r="AB13" s="1"/>
      <c r="AC13" s="1"/>
      <c r="AD13" s="40"/>
      <c r="AE13" s="1"/>
      <c r="AF13" s="7"/>
      <c r="AG13" s="24"/>
      <c r="AH13" s="1"/>
      <c r="AI13" s="1"/>
      <c r="AJ13" s="1"/>
      <c r="AK13" s="1"/>
      <c r="AL13" s="1"/>
      <c r="AM13" s="24"/>
      <c r="AN13" s="1"/>
      <c r="AO13" s="1"/>
      <c r="AP13" s="7"/>
      <c r="AQ13" s="1"/>
      <c r="AR13" s="1"/>
      <c r="AS13" s="32" t="str">
        <f>'D10'!U13</f>
        <v>R018=49.9% ~ 54.7%</v>
      </c>
      <c r="AT13" s="10" t="str">
        <f>'D10'!V13</f>
        <v>P(08)=0.005%</v>
      </c>
    </row>
    <row r="14" ht="6.0" customHeight="1">
      <c r="A14" s="16">
        <f>FTA!A14</f>
        <v>0.132</v>
      </c>
      <c r="B14" s="12"/>
      <c r="C14" s="17"/>
      <c r="D14" s="18" t="s">
        <v>4</v>
      </c>
      <c r="E14" s="19" t="str">
        <f>FTA!E14</f>
        <v>F1-a2(t)</v>
      </c>
      <c r="F14" s="6" t="s">
        <v>13</v>
      </c>
      <c r="G14" s="41"/>
      <c r="H14" s="1"/>
      <c r="I14" s="1"/>
      <c r="J14" s="1"/>
      <c r="K14" s="1"/>
      <c r="L14" s="1"/>
      <c r="M14" s="7"/>
      <c r="N14" s="1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"/>
      <c r="AB14" s="1"/>
      <c r="AC14" s="1"/>
      <c r="AD14" s="40"/>
      <c r="AE14" s="1"/>
      <c r="AF14" s="7"/>
      <c r="AG14" s="24"/>
      <c r="AH14" s="1"/>
      <c r="AI14" s="1"/>
      <c r="AJ14" s="1"/>
      <c r="AK14" s="1"/>
      <c r="AL14" s="1"/>
      <c r="AM14" s="1"/>
      <c r="AN14" s="30" t="str">
        <f>'D10'!P14</f>
        <v>7-2-發生電池櫃熱失控傳播現象</v>
      </c>
      <c r="AO14" s="20"/>
      <c r="AP14" s="7"/>
      <c r="AQ14" s="1"/>
      <c r="AR14" s="1"/>
      <c r="AS14" s="1"/>
      <c r="AT14" s="1"/>
    </row>
    <row r="15" ht="6.0" customHeight="1">
      <c r="A15" s="11"/>
      <c r="B15" s="21"/>
      <c r="C15" s="22"/>
      <c r="D15" s="12"/>
      <c r="E15" s="23"/>
      <c r="F15" s="12"/>
      <c r="G15" s="17"/>
      <c r="H15" s="1"/>
      <c r="I15" s="1"/>
      <c r="J15" s="1"/>
      <c r="K15" s="1"/>
      <c r="L15" s="1"/>
      <c r="M15" s="7"/>
      <c r="N15" s="1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"/>
      <c r="AB15" s="1"/>
      <c r="AC15" s="1"/>
      <c r="AD15" s="7"/>
      <c r="AE15" s="1"/>
      <c r="AF15" s="30" t="str">
        <f>'D10'!H15</f>
        <v>3-2-電芯發生熱失控</v>
      </c>
      <c r="AG15" s="20"/>
      <c r="AH15" s="1"/>
      <c r="AI15" s="1"/>
      <c r="AJ15" s="1"/>
      <c r="AK15" s="1"/>
      <c r="AL15" s="1"/>
      <c r="AM15" s="1"/>
      <c r="AN15" s="32" t="str">
        <f>'D10'!P15</f>
        <v>R011=19.2% ~ 26.9%</v>
      </c>
      <c r="AO15" s="14"/>
      <c r="AP15" s="7"/>
      <c r="AQ15" s="1"/>
      <c r="AR15" s="1"/>
      <c r="AS15" s="8" t="str">
        <f>'D10'!U15</f>
        <v>10-5-熱煙或毒性氣體未危害至儲能空間以外</v>
      </c>
      <c r="AT15" s="10" t="s">
        <v>14</v>
      </c>
    </row>
    <row r="16" ht="6.0" customHeight="1">
      <c r="A16" s="27"/>
      <c r="B16" s="1"/>
      <c r="C16" s="1"/>
      <c r="D16" s="12"/>
      <c r="E16" s="28">
        <f>FTA!E16</f>
        <v>0.01584</v>
      </c>
      <c r="F16" s="12"/>
      <c r="G16" s="1"/>
      <c r="H16" s="1"/>
      <c r="I16" s="1"/>
      <c r="J16" s="1"/>
      <c r="K16" s="1"/>
      <c r="L16" s="1"/>
      <c r="M16" s="7"/>
      <c r="N16" s="1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1"/>
      <c r="AB16" s="1"/>
      <c r="AC16" s="1"/>
      <c r="AD16" s="7"/>
      <c r="AE16" s="1"/>
      <c r="AF16" s="32" t="str">
        <f>'D10'!H16</f>
        <v>R004=16.8% ~ 24.8%</v>
      </c>
      <c r="AG16" s="14"/>
      <c r="AH16" s="1"/>
      <c r="AI16" s="1"/>
      <c r="AJ16" s="1"/>
      <c r="AK16" s="1"/>
      <c r="AL16" s="1"/>
      <c r="AM16" s="1"/>
      <c r="AN16" s="1"/>
      <c r="AO16" s="1"/>
      <c r="AP16" s="7"/>
      <c r="AQ16" s="1"/>
      <c r="AR16" s="1"/>
      <c r="AS16" s="13" t="str">
        <f>'D10'!U16</f>
        <v>R021=56.6% ~ 62.6%</v>
      </c>
      <c r="AT16" s="10" t="str">
        <f>'D10'!V16</f>
        <v>P(09)=0.009%</v>
      </c>
    </row>
    <row r="17" ht="6.0" customHeight="1">
      <c r="A17" s="5" t="str">
        <f>FTA!A17</f>
        <v>F1-a2-2(t)</v>
      </c>
      <c r="B17" s="6" t="s">
        <v>15</v>
      </c>
      <c r="C17" s="17"/>
      <c r="D17" s="12"/>
      <c r="E17" s="11"/>
      <c r="F17" s="21"/>
      <c r="G17" s="1"/>
      <c r="H17" s="1"/>
      <c r="I17" s="1"/>
      <c r="J17" s="1"/>
      <c r="K17" s="1"/>
      <c r="L17" s="1"/>
      <c r="M17" s="7"/>
      <c r="N17" s="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1"/>
      <c r="AB17" s="1"/>
      <c r="AC17" s="1"/>
      <c r="AD17" s="7"/>
      <c r="AE17" s="1"/>
      <c r="AF17" s="1"/>
      <c r="AG17" s="24"/>
      <c r="AH17" s="1"/>
      <c r="AI17" s="1"/>
      <c r="AJ17" s="1"/>
      <c r="AK17" s="1"/>
      <c r="AL17" s="1"/>
      <c r="AM17" s="1"/>
      <c r="AN17" s="1"/>
      <c r="AO17" s="1"/>
      <c r="AP17" s="7"/>
      <c r="AQ17" s="1"/>
      <c r="AR17" s="8" t="str">
        <f>'D10'!T17</f>
        <v>9-3-消防系統有效發揮冷卻作用</v>
      </c>
      <c r="AS17" s="26"/>
      <c r="AT17" s="1"/>
    </row>
    <row r="18" ht="6.0" customHeight="1">
      <c r="A18" s="11"/>
      <c r="B18" s="12"/>
      <c r="C18" s="22"/>
      <c r="D18" s="21"/>
      <c r="E18" s="1"/>
      <c r="F18" s="1"/>
      <c r="G18" s="1"/>
      <c r="H18" s="1"/>
      <c r="I18" s="1"/>
      <c r="J18" s="1"/>
      <c r="K18" s="1"/>
      <c r="L18" s="1"/>
      <c r="M18" s="7"/>
      <c r="N18" s="1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1"/>
      <c r="AB18" s="1"/>
      <c r="AC18" s="1"/>
      <c r="AD18" s="7"/>
      <c r="AE18" s="1"/>
      <c r="AF18" s="1"/>
      <c r="AG18" s="24"/>
      <c r="AH18" s="1"/>
      <c r="AI18" s="1"/>
      <c r="AJ18" s="1"/>
      <c r="AK18" s="1"/>
      <c r="AL18" s="1"/>
      <c r="AM18" s="1"/>
      <c r="AN18" s="1"/>
      <c r="AO18" s="1"/>
      <c r="AP18" s="7"/>
      <c r="AQ18" s="1"/>
      <c r="AR18" s="13" t="str">
        <f>'D10'!T18</f>
        <v>R020=53.7% ~ 59.4%</v>
      </c>
      <c r="AS18" s="30" t="str">
        <f>'D10'!U18</f>
        <v>10-6-熱煙或毒性氣體危害至儲能空間以外</v>
      </c>
      <c r="AT18" s="10" t="s">
        <v>16</v>
      </c>
    </row>
    <row r="19" ht="6.0" customHeight="1">
      <c r="A19" s="16">
        <f>FTA!A19</f>
        <v>0.12</v>
      </c>
      <c r="B19" s="12"/>
      <c r="C19" s="7"/>
      <c r="D19" s="1"/>
      <c r="E19" s="1"/>
      <c r="F19" s="1"/>
      <c r="G19" s="1"/>
      <c r="H19" s="1"/>
      <c r="I19" s="1"/>
      <c r="J19" s="1"/>
      <c r="K19" s="1"/>
      <c r="L19" s="1"/>
      <c r="M19" s="7"/>
      <c r="N19" s="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1"/>
      <c r="AB19" s="1"/>
      <c r="AC19" s="1"/>
      <c r="AD19" s="7"/>
      <c r="AE19" s="1"/>
      <c r="AF19" s="1"/>
      <c r="AG19" s="24"/>
      <c r="AH19" s="1"/>
      <c r="AI19" s="1"/>
      <c r="AJ19" s="1"/>
      <c r="AK19" s="1"/>
      <c r="AL19" s="1"/>
      <c r="AM19" s="1"/>
      <c r="AN19" s="1"/>
      <c r="AO19" s="24"/>
      <c r="AP19" s="1"/>
      <c r="AQ19" s="1"/>
      <c r="AR19" s="7"/>
      <c r="AS19" s="32" t="str">
        <f>'D10'!U19</f>
        <v>R022=37.4% ~ 43.4%</v>
      </c>
      <c r="AT19" s="10" t="str">
        <f>'D10'!V19</f>
        <v>P(10)=0.006%</v>
      </c>
    </row>
    <row r="20" ht="6.0" customHeight="1">
      <c r="A20" s="11"/>
      <c r="B20" s="21"/>
      <c r="C20" s="7"/>
      <c r="D20" s="1"/>
      <c r="E20" s="1"/>
      <c r="F20" s="1"/>
      <c r="G20" s="1"/>
      <c r="H20" s="1"/>
      <c r="I20" s="1"/>
      <c r="J20" s="1"/>
      <c r="K20" s="1"/>
      <c r="L20" s="1"/>
      <c r="M20" s="7"/>
      <c r="N20" s="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1"/>
      <c r="AB20" s="1"/>
      <c r="AC20" s="1"/>
      <c r="AD20" s="7"/>
      <c r="AE20" s="1"/>
      <c r="AF20" s="1"/>
      <c r="AG20" s="24"/>
      <c r="AH20" s="1"/>
      <c r="AI20" s="1"/>
      <c r="AJ20" s="1"/>
      <c r="AK20" s="1"/>
      <c r="AL20" s="1"/>
      <c r="AM20" s="1"/>
      <c r="AN20" s="1"/>
      <c r="AO20" s="1"/>
      <c r="AP20" s="30" t="str">
        <f>'D10'!R20</f>
        <v>8-2-可燃氣體濃度達到LFL</v>
      </c>
      <c r="AQ20" s="20"/>
      <c r="AR20" s="7"/>
      <c r="AS20" s="1"/>
      <c r="AT20" s="1"/>
    </row>
    <row r="21" ht="6.0" customHeight="1">
      <c r="A21" s="42"/>
      <c r="B21" s="1"/>
      <c r="C21" s="1"/>
      <c r="D21" s="1"/>
      <c r="E21" s="38"/>
      <c r="F21" s="1"/>
      <c r="G21" s="1"/>
      <c r="H21" s="1"/>
      <c r="I21" s="1"/>
      <c r="J21" s="1"/>
      <c r="K21" s="1"/>
      <c r="L21" s="1"/>
      <c r="M21" s="7"/>
      <c r="N21" s="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1"/>
      <c r="AB21" s="1"/>
      <c r="AC21" s="1"/>
      <c r="AD21" s="7"/>
      <c r="AE21" s="1"/>
      <c r="AF21" s="1"/>
      <c r="AG21" s="24"/>
      <c r="AH21" s="1"/>
      <c r="AI21" s="1"/>
      <c r="AJ21" s="1"/>
      <c r="AK21" s="1"/>
      <c r="AL21" s="1"/>
      <c r="AM21" s="1"/>
      <c r="AN21" s="1"/>
      <c r="AO21" s="1"/>
      <c r="AP21" s="32" t="str">
        <f>'D10'!R21</f>
        <v>R019=45.6% ~ 50.8%</v>
      </c>
      <c r="AQ21" s="14"/>
      <c r="AR21" s="7"/>
      <c r="AS21" s="8" t="str">
        <f>'D10'!U21</f>
        <v>10-7-熱煙或毒性氣體未危害至儲能空間以外</v>
      </c>
      <c r="AT21" s="10" t="s">
        <v>17</v>
      </c>
    </row>
    <row r="22" ht="6.0" customHeight="1">
      <c r="A22" s="5" t="str">
        <f>FTA!A22</f>
        <v>F1-b1-1(t)</v>
      </c>
      <c r="B22" s="6" t="s">
        <v>18</v>
      </c>
      <c r="C22" s="7"/>
      <c r="D22" s="1"/>
      <c r="E22" s="38"/>
      <c r="F22" s="1"/>
      <c r="G22" s="1"/>
      <c r="H22" s="1"/>
      <c r="I22" s="1"/>
      <c r="J22" s="1"/>
      <c r="K22" s="1"/>
      <c r="L22" s="1"/>
      <c r="M22" s="7"/>
      <c r="N22" s="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1"/>
      <c r="AB22" s="1"/>
      <c r="AC22" s="1"/>
      <c r="AD22" s="7"/>
      <c r="AE22" s="1"/>
      <c r="AF22" s="1"/>
      <c r="AG22" s="24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7"/>
      <c r="AS22" s="13" t="str">
        <f>'D10'!U22</f>
        <v>R024=45.3% ~ 50.1%</v>
      </c>
      <c r="AT22" s="10" t="str">
        <f>'D10'!V22</f>
        <v>P(11)=0.005%</v>
      </c>
    </row>
    <row r="23" ht="6.0" customHeight="1">
      <c r="A23" s="11"/>
      <c r="B23" s="12"/>
      <c r="C23" s="7"/>
      <c r="D23" s="1"/>
      <c r="E23" s="1"/>
      <c r="F23" s="1"/>
      <c r="G23" s="1"/>
      <c r="H23" s="1"/>
      <c r="I23" s="1"/>
      <c r="J23" s="1"/>
      <c r="K23" s="1"/>
      <c r="L23" s="1"/>
      <c r="M23" s="7"/>
      <c r="N23" s="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1"/>
      <c r="AB23" s="1"/>
      <c r="AC23" s="1"/>
      <c r="AD23" s="7"/>
      <c r="AE23" s="1"/>
      <c r="AF23" s="1"/>
      <c r="AG23" s="24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30" t="str">
        <f>'D10'!T23</f>
        <v>9-4-消防系統無法發揮冷卻作用</v>
      </c>
      <c r="AS23" s="26"/>
      <c r="AT23" s="1"/>
    </row>
    <row r="24" ht="6.0" customHeight="1">
      <c r="A24" s="16">
        <f>FTA!A24</f>
        <v>0.1165</v>
      </c>
      <c r="B24" s="12"/>
      <c r="C24" s="17"/>
      <c r="D24" s="18" t="s">
        <v>4</v>
      </c>
      <c r="E24" s="19" t="str">
        <f>FTA!E24</f>
        <v>F1-b1(t)</v>
      </c>
      <c r="F24" s="6" t="s">
        <v>19</v>
      </c>
      <c r="G24" s="1"/>
      <c r="H24" s="1"/>
      <c r="I24" s="1"/>
      <c r="J24" s="1"/>
      <c r="K24" s="1"/>
      <c r="L24" s="1"/>
      <c r="M24" s="7"/>
      <c r="N24" s="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1"/>
      <c r="AB24" s="1"/>
      <c r="AC24" s="1"/>
      <c r="AD24" s="7"/>
      <c r="AE24" s="1"/>
      <c r="AF24" s="1"/>
      <c r="AG24" s="24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32" t="str">
        <f>'D10'!T24</f>
        <v>R023=40.6% ~ 46.3%</v>
      </c>
      <c r="AS24" s="30" t="str">
        <f>'D10'!U24</f>
        <v>10-8-熱煙或毒性氣體危害至儲能空間以外</v>
      </c>
      <c r="AT24" s="10" t="s">
        <v>20</v>
      </c>
    </row>
    <row r="25" ht="6.0" customHeight="1">
      <c r="A25" s="11"/>
      <c r="B25" s="21"/>
      <c r="C25" s="22"/>
      <c r="D25" s="12"/>
      <c r="E25" s="23"/>
      <c r="F25" s="12"/>
      <c r="G25" s="1"/>
      <c r="H25" s="1"/>
      <c r="I25" s="1"/>
      <c r="J25" s="1"/>
      <c r="K25" s="1"/>
      <c r="L25" s="1"/>
      <c r="M25" s="7"/>
      <c r="N25" s="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1"/>
      <c r="AB25" s="1"/>
      <c r="AC25" s="1"/>
      <c r="AD25" s="7"/>
      <c r="AE25" s="1"/>
      <c r="AF25" s="1"/>
      <c r="AG25" s="24"/>
      <c r="AH25" s="1"/>
      <c r="AI25" s="1"/>
      <c r="AJ25" s="8" t="str">
        <f>'D10'!L25</f>
        <v>5-3-未發生電芯熱失控傳播現象</v>
      </c>
      <c r="AK25" s="9"/>
      <c r="AL25" s="10" t="s">
        <v>21</v>
      </c>
      <c r="AM25" s="1"/>
      <c r="AN25" s="1"/>
      <c r="AO25" s="1"/>
      <c r="AP25" s="1"/>
      <c r="AQ25" s="1"/>
      <c r="AR25" s="1"/>
      <c r="AS25" s="32" t="str">
        <f>'D10'!U25</f>
        <v>R025=49.9% ~ 54.7%</v>
      </c>
      <c r="AT25" s="10" t="str">
        <f>'D10'!V25</f>
        <v>P(12)=0.006%</v>
      </c>
    </row>
    <row r="26" ht="6.0" customHeight="1">
      <c r="A26" s="1"/>
      <c r="B26" s="1"/>
      <c r="C26" s="1"/>
      <c r="D26" s="12"/>
      <c r="E26" s="28">
        <f>FTA!E26</f>
        <v>0.014912</v>
      </c>
      <c r="F26" s="12"/>
      <c r="G26" s="22"/>
      <c r="H26" s="1"/>
      <c r="I26" s="1"/>
      <c r="J26" s="1"/>
      <c r="K26" s="1"/>
      <c r="L26" s="1"/>
      <c r="M26" s="7"/>
      <c r="N26" s="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1"/>
      <c r="AB26" s="1"/>
      <c r="AC26" s="1"/>
      <c r="AD26" s="7"/>
      <c r="AE26" s="1"/>
      <c r="AF26" s="1"/>
      <c r="AG26" s="24"/>
      <c r="AH26" s="1"/>
      <c r="AI26" s="1"/>
      <c r="AJ26" s="13" t="str">
        <f>'D10'!L26</f>
        <v>R027=61.1% ~ 67.5%</v>
      </c>
      <c r="AK26" s="15"/>
      <c r="AL26" s="10" t="str">
        <f>'D10'!N26</f>
        <v>P(13)=4.418%</v>
      </c>
      <c r="AM26" s="1"/>
      <c r="AN26" s="1"/>
      <c r="AO26" s="1"/>
      <c r="AP26" s="1"/>
      <c r="AQ26" s="1"/>
      <c r="AR26" s="1"/>
      <c r="AS26" s="1"/>
      <c r="AT26" s="1"/>
    </row>
    <row r="27" ht="6.0" customHeight="1">
      <c r="A27" s="5" t="str">
        <f>FTA!A27</f>
        <v>F1-b1-2(t)</v>
      </c>
      <c r="B27" s="6" t="s">
        <v>22</v>
      </c>
      <c r="C27" s="17"/>
      <c r="D27" s="12"/>
      <c r="E27" s="11"/>
      <c r="F27" s="21"/>
      <c r="G27" s="41"/>
      <c r="H27" s="1"/>
      <c r="I27" s="1"/>
      <c r="J27" s="1"/>
      <c r="K27" s="1"/>
      <c r="L27" s="1"/>
      <c r="M27" s="7"/>
      <c r="N27" s="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1"/>
      <c r="AB27" s="1"/>
      <c r="AC27" s="1"/>
      <c r="AD27" s="7"/>
      <c r="AE27" s="1"/>
      <c r="AF27" s="1"/>
      <c r="AG27" s="24"/>
      <c r="AH27" s="43" t="str">
        <f>'D10'!J27</f>
        <v>4-2-通風排出裝置未啟動</v>
      </c>
      <c r="AI27" s="20"/>
      <c r="AJ27" s="7"/>
      <c r="AK27" s="1"/>
      <c r="AL27" s="8" t="str">
        <f>'D10'!N27</f>
        <v>6-3-未發生模組熱失控傳播現象</v>
      </c>
      <c r="AM27" s="9"/>
      <c r="AN27" s="10" t="s">
        <v>23</v>
      </c>
      <c r="AO27" s="1"/>
      <c r="AP27" s="1"/>
      <c r="AQ27" s="1"/>
      <c r="AR27" s="1"/>
      <c r="AS27" s="8" t="str">
        <f>'D10'!U27</f>
        <v>10-9-熱煙或毒性氣體未危害至儲能空間以外</v>
      </c>
      <c r="AT27" s="10" t="s">
        <v>24</v>
      </c>
    </row>
    <row r="28" ht="6.0" customHeight="1">
      <c r="A28" s="11"/>
      <c r="B28" s="12"/>
      <c r="C28" s="22"/>
      <c r="D28" s="21"/>
      <c r="E28" s="1"/>
      <c r="F28" s="1"/>
      <c r="G28" s="24"/>
      <c r="H28" s="1"/>
      <c r="I28" s="22" t="s">
        <v>4</v>
      </c>
      <c r="J28" s="1"/>
      <c r="K28" s="1"/>
      <c r="L28" s="1"/>
      <c r="M28" s="7"/>
      <c r="N28" s="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1"/>
      <c r="AB28" s="1"/>
      <c r="AC28" s="1"/>
      <c r="AD28" s="7"/>
      <c r="AE28" s="1"/>
      <c r="AF28" s="1"/>
      <c r="AG28" s="1"/>
      <c r="AH28" s="32" t="str">
        <f>'D10'!J28</f>
        <v>R026=72.4% ~ 75.0%</v>
      </c>
      <c r="AI28" s="14"/>
      <c r="AJ28" s="7"/>
      <c r="AK28" s="1"/>
      <c r="AL28" s="13" t="str">
        <f>'D10'!N28</f>
        <v>R029=70.0% ~ 77.3%</v>
      </c>
      <c r="AM28" s="15"/>
      <c r="AN28" s="10" t="str">
        <f>'D10'!P28</f>
        <v>P(14)=1.784%</v>
      </c>
      <c r="AO28" s="1"/>
      <c r="AP28" s="1"/>
      <c r="AQ28" s="1"/>
      <c r="AR28" s="8" t="str">
        <f>'D10'!T28</f>
        <v>9-5-消防系統有效發揮冷卻作用</v>
      </c>
      <c r="AS28" s="13" t="str">
        <f>'D10'!U28</f>
        <v>R035=56.6% ~ 62.6%</v>
      </c>
      <c r="AT28" s="10" t="str">
        <f>'D10'!V28</f>
        <v>P(16)=0.015%</v>
      </c>
    </row>
    <row r="29" ht="6.0" customHeight="1">
      <c r="A29" s="16">
        <f>FTA!A29</f>
        <v>0.128</v>
      </c>
      <c r="B29" s="12"/>
      <c r="C29" s="7"/>
      <c r="D29" s="1"/>
      <c r="E29" s="1"/>
      <c r="F29" s="1"/>
      <c r="G29" s="24"/>
      <c r="H29" s="33"/>
      <c r="I29" s="12"/>
      <c r="J29" s="1"/>
      <c r="K29" s="44"/>
      <c r="L29" s="1"/>
      <c r="M29" s="7"/>
      <c r="N29" s="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1"/>
      <c r="AB29" s="1"/>
      <c r="AC29" s="1"/>
      <c r="AD29" s="7"/>
      <c r="AE29" s="1"/>
      <c r="AF29" s="1"/>
      <c r="AG29" s="1"/>
      <c r="AH29" s="1"/>
      <c r="AI29" s="1"/>
      <c r="AJ29" s="30" t="str">
        <f>'D10'!L29</f>
        <v>5-4-發生電芯熱失控傳播現象</v>
      </c>
      <c r="AK29" s="20"/>
      <c r="AL29" s="7"/>
      <c r="AM29" s="1"/>
      <c r="AN29" s="8" t="str">
        <f>'D10'!P29</f>
        <v>7-3-未發生電池櫃熱失控傳播現象</v>
      </c>
      <c r="AO29" s="9"/>
      <c r="AP29" s="10" t="s">
        <v>25</v>
      </c>
      <c r="AQ29" s="1"/>
      <c r="AR29" s="13" t="str">
        <f>'D10'!T29</f>
        <v>R034=63.2% ~ 69.9%</v>
      </c>
      <c r="AS29" s="26"/>
      <c r="AT29" s="1"/>
    </row>
    <row r="30" ht="6.0" customHeight="1">
      <c r="A30" s="11"/>
      <c r="B30" s="21"/>
      <c r="C30" s="7"/>
      <c r="D30" s="1"/>
      <c r="E30" s="1"/>
      <c r="F30" s="1"/>
      <c r="G30" s="24"/>
      <c r="H30" s="29"/>
      <c r="I30" s="12"/>
      <c r="J30" s="45"/>
      <c r="K30" s="1"/>
      <c r="L30" s="7"/>
      <c r="M30" s="7"/>
      <c r="N30" s="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"/>
      <c r="AD30" s="7"/>
      <c r="AE30" s="1"/>
      <c r="AF30" s="1"/>
      <c r="AG30" s="1"/>
      <c r="AH30" s="1"/>
      <c r="AI30" s="1"/>
      <c r="AJ30" s="32" t="str">
        <f>'D10'!L30</f>
        <v>R028=32.5% ~ 38.9%</v>
      </c>
      <c r="AK30" s="14"/>
      <c r="AL30" s="7"/>
      <c r="AM30" s="1"/>
      <c r="AN30" s="13" t="str">
        <f>'D10'!P30</f>
        <v>R031=73.1% ~ 80.8%</v>
      </c>
      <c r="AO30" s="15"/>
      <c r="AP30" s="10" t="str">
        <f>'D10'!R30</f>
        <v>P(15)=0.484%</v>
      </c>
      <c r="AQ30" s="1"/>
      <c r="AR30" s="7"/>
      <c r="AS30" s="30" t="str">
        <f>'D10'!U30</f>
        <v>10-10-熱煙或毒性氣體危害至儲能空間以外</v>
      </c>
      <c r="AT30" s="10" t="s">
        <v>26</v>
      </c>
    </row>
    <row r="31" ht="6.0" customHeight="1">
      <c r="A31" s="36"/>
      <c r="B31" s="37"/>
      <c r="C31" s="1"/>
      <c r="D31" s="1"/>
      <c r="E31" s="1"/>
      <c r="F31" s="1"/>
      <c r="G31" s="24"/>
      <c r="H31" s="1"/>
      <c r="I31" s="12"/>
      <c r="J31" s="1"/>
      <c r="K31" s="1"/>
      <c r="L31" s="7"/>
      <c r="M31" s="7"/>
      <c r="N31" s="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1"/>
      <c r="AB31" s="1"/>
      <c r="AC31" s="1"/>
      <c r="AD31" s="7"/>
      <c r="AE31" s="1"/>
      <c r="AF31" s="1"/>
      <c r="AG31" s="1"/>
      <c r="AH31" s="1"/>
      <c r="AI31" s="1"/>
      <c r="AJ31" s="1"/>
      <c r="AK31" s="1"/>
      <c r="AL31" s="7"/>
      <c r="AM31" s="1"/>
      <c r="AN31" s="7"/>
      <c r="AO31" s="1"/>
      <c r="AP31" s="8" t="str">
        <f>'D10'!R31</f>
        <v>8-3-可燃氣體濃度未達到LFL</v>
      </c>
      <c r="AQ31" s="20"/>
      <c r="AR31" s="7"/>
      <c r="AS31" s="32" t="str">
        <f>'D10'!U31</f>
        <v>R036=37.4% ~ 43.4%</v>
      </c>
      <c r="AT31" s="10" t="str">
        <f>'D10'!V31</f>
        <v>P(17)=0.010%</v>
      </c>
    </row>
    <row r="32" ht="6.0" customHeight="1">
      <c r="A32" s="5" t="str">
        <f>FTA!A32</f>
        <v>F1-b2-1(t)</v>
      </c>
      <c r="B32" s="6" t="s">
        <v>27</v>
      </c>
      <c r="C32" s="7"/>
      <c r="D32" s="1"/>
      <c r="E32" s="1"/>
      <c r="F32" s="1"/>
      <c r="G32" s="24"/>
      <c r="H32" s="1"/>
      <c r="I32" s="21"/>
      <c r="J32" s="1"/>
      <c r="K32" s="1"/>
      <c r="L32" s="7"/>
      <c r="M32" s="7"/>
      <c r="N32" s="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1"/>
      <c r="AB32" s="8" t="str">
        <f>'D10'!D32</f>
        <v>1-1-值班室或EWCS通報電池異常</v>
      </c>
      <c r="AC32" s="20"/>
      <c r="AD32" s="7"/>
      <c r="AE32" s="1"/>
      <c r="AF32" s="1"/>
      <c r="AG32" s="1"/>
      <c r="AH32" s="1"/>
      <c r="AI32" s="1"/>
      <c r="AJ32" s="1"/>
      <c r="AK32" s="1"/>
      <c r="AL32" s="30" t="str">
        <f>'D10'!N32</f>
        <v>6-4-發生模組熱失控傳播現象</v>
      </c>
      <c r="AM32" s="20"/>
      <c r="AN32" s="7"/>
      <c r="AO32" s="1"/>
      <c r="AP32" s="13" t="str">
        <f>'D10'!R32</f>
        <v>R033=24.6% ~ 27.2%</v>
      </c>
      <c r="AQ32" s="14"/>
      <c r="AR32" s="7"/>
      <c r="AS32" s="1"/>
      <c r="AT32" s="1"/>
    </row>
    <row r="33" ht="6.0" customHeight="1">
      <c r="A33" s="11"/>
      <c r="B33" s="12"/>
      <c r="C33" s="7"/>
      <c r="D33" s="1"/>
      <c r="E33" s="1"/>
      <c r="F33" s="37"/>
      <c r="G33" s="39"/>
      <c r="H33" s="1"/>
      <c r="I33" s="1"/>
      <c r="J33" s="1"/>
      <c r="K33" s="1"/>
      <c r="L33" s="7"/>
      <c r="M33" s="7"/>
      <c r="N33" s="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1"/>
      <c r="AB33" s="13" t="str">
        <f>'D10'!D33</f>
        <v>R001=59.9% ~ 66.2%</v>
      </c>
      <c r="AC33" s="14"/>
      <c r="AD33" s="7"/>
      <c r="AE33" s="1"/>
      <c r="AF33" s="1"/>
      <c r="AG33" s="1"/>
      <c r="AH33" s="1"/>
      <c r="AI33" s="1"/>
      <c r="AJ33" s="1"/>
      <c r="AK33" s="1"/>
      <c r="AL33" s="32" t="str">
        <f>'D10'!N33</f>
        <v>R030=22.7% ~ 30.0%</v>
      </c>
      <c r="AM33" s="14"/>
      <c r="AN33" s="7"/>
      <c r="AO33" s="1"/>
      <c r="AP33" s="7"/>
      <c r="AQ33" s="1"/>
      <c r="AR33" s="7"/>
      <c r="AS33" s="8" t="str">
        <f>'D10'!U33</f>
        <v>10-11-熱煙或毒性氣體未危害至儲能空間以外</v>
      </c>
      <c r="AT33" s="10" t="s">
        <v>28</v>
      </c>
    </row>
    <row r="34" ht="6.0" customHeight="1">
      <c r="A34" s="16">
        <f>FTA!A34</f>
        <v>0.132</v>
      </c>
      <c r="B34" s="12"/>
      <c r="C34" s="17"/>
      <c r="D34" s="18" t="s">
        <v>4</v>
      </c>
      <c r="E34" s="19" t="str">
        <f>FTA!E34</f>
        <v>F1-b2(t)</v>
      </c>
      <c r="F34" s="6" t="s">
        <v>29</v>
      </c>
      <c r="G34" s="41"/>
      <c r="H34" s="1"/>
      <c r="I34" s="1"/>
      <c r="J34" s="1"/>
      <c r="K34" s="1"/>
      <c r="L34" s="7"/>
      <c r="M34" s="7"/>
      <c r="N34" s="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"/>
      <c r="AB34" s="7"/>
      <c r="AC34" s="1"/>
      <c r="AD34" s="7"/>
      <c r="AE34" s="1"/>
      <c r="AF34" s="1"/>
      <c r="AG34" s="1"/>
      <c r="AH34" s="1"/>
      <c r="AI34" s="1"/>
      <c r="AJ34" s="1"/>
      <c r="AK34" s="1"/>
      <c r="AL34" s="1"/>
      <c r="AM34" s="1"/>
      <c r="AN34" s="7"/>
      <c r="AO34" s="1"/>
      <c r="AP34" s="7"/>
      <c r="AQ34" s="1"/>
      <c r="AR34" s="7"/>
      <c r="AS34" s="13" t="str">
        <f>'D10'!U34</f>
        <v>R038=45.3% ~ 50.1%</v>
      </c>
      <c r="AT34" s="10" t="str">
        <f>'D10'!V34</f>
        <v>P(18)=0.006%</v>
      </c>
    </row>
    <row r="35" ht="6.0" customHeight="1">
      <c r="A35" s="11"/>
      <c r="B35" s="21"/>
      <c r="C35" s="22"/>
      <c r="D35" s="12"/>
      <c r="E35" s="23"/>
      <c r="F35" s="12"/>
      <c r="G35" s="17"/>
      <c r="H35" s="1"/>
      <c r="I35" s="1"/>
      <c r="J35" s="1"/>
      <c r="K35" s="1"/>
      <c r="L35" s="7"/>
      <c r="M35" s="7"/>
      <c r="N35" s="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1"/>
      <c r="AB35" s="7"/>
      <c r="AC35" s="1"/>
      <c r="AD35" s="7"/>
      <c r="AE35" s="1"/>
      <c r="AF35" s="1"/>
      <c r="AG35" s="1"/>
      <c r="AH35" s="1"/>
      <c r="AI35" s="1"/>
      <c r="AJ35" s="1"/>
      <c r="AK35" s="1"/>
      <c r="AL35" s="1"/>
      <c r="AM35" s="1"/>
      <c r="AN35" s="7"/>
      <c r="AO35" s="1"/>
      <c r="AP35" s="7"/>
      <c r="AQ35" s="1"/>
      <c r="AR35" s="30" t="str">
        <f>'D10'!T35</f>
        <v>9-6-消防系統無法發揮冷卻作用</v>
      </c>
      <c r="AS35" s="26"/>
      <c r="AT35" s="1"/>
    </row>
    <row r="36" ht="6.0" customHeight="1">
      <c r="A36" s="27"/>
      <c r="B36" s="1"/>
      <c r="C36" s="1"/>
      <c r="D36" s="12"/>
      <c r="E36" s="28">
        <f>FTA!E36</f>
        <v>0.015048</v>
      </c>
      <c r="F36" s="12"/>
      <c r="G36" s="1"/>
      <c r="H36" s="1"/>
      <c r="I36" s="1"/>
      <c r="J36" s="1"/>
      <c r="K36" s="1"/>
      <c r="L36" s="7"/>
      <c r="M36" s="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"/>
      <c r="AC36" s="1"/>
      <c r="AD36" s="7"/>
      <c r="AE36" s="1"/>
      <c r="AF36" s="1"/>
      <c r="AG36" s="1"/>
      <c r="AH36" s="1"/>
      <c r="AI36" s="1"/>
      <c r="AJ36" s="1"/>
      <c r="AK36" s="1"/>
      <c r="AL36" s="1"/>
      <c r="AM36" s="1"/>
      <c r="AN36" s="30" t="str">
        <f>'D10'!P36</f>
        <v>7-4-發生電池櫃熱失控傳播現象</v>
      </c>
      <c r="AO36" s="20"/>
      <c r="AP36" s="7"/>
      <c r="AQ36" s="1"/>
      <c r="AR36" s="32" t="str">
        <f>'D10'!T36</f>
        <v>R037=30.1% ~ 36.8%</v>
      </c>
      <c r="AS36" s="30" t="str">
        <f>'D10'!U36</f>
        <v>10-12-熱煙或毒性氣體危害至儲能空間以外</v>
      </c>
      <c r="AT36" s="10" t="s">
        <v>30</v>
      </c>
    </row>
    <row r="37" ht="6.0" customHeight="1">
      <c r="A37" s="5" t="str">
        <f>FTA!A37</f>
        <v>F1-b2-2(t)</v>
      </c>
      <c r="B37" s="6" t="s">
        <v>31</v>
      </c>
      <c r="C37" s="17"/>
      <c r="D37" s="12"/>
      <c r="E37" s="11"/>
      <c r="F37" s="21"/>
      <c r="G37" s="1"/>
      <c r="H37" s="1"/>
      <c r="I37" s="1"/>
      <c r="J37" s="1"/>
      <c r="K37" s="1"/>
      <c r="L37" s="7"/>
      <c r="M37" s="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40"/>
      <c r="AC37" s="1"/>
      <c r="AD37" s="7"/>
      <c r="AE37" s="1"/>
      <c r="AF37" s="1"/>
      <c r="AG37" s="1"/>
      <c r="AH37" s="1"/>
      <c r="AI37" s="1"/>
      <c r="AJ37" s="1"/>
      <c r="AK37" s="1"/>
      <c r="AL37" s="1"/>
      <c r="AM37" s="1"/>
      <c r="AN37" s="32" t="str">
        <f>'D10'!P37</f>
        <v>R032=19.2% ~ 26.9%</v>
      </c>
      <c r="AO37" s="14"/>
      <c r="AP37" s="7"/>
      <c r="AQ37" s="1"/>
      <c r="AR37" s="1"/>
      <c r="AS37" s="32" t="str">
        <f>'D10'!U37</f>
        <v>R039=49.9% ~ 54.7%</v>
      </c>
      <c r="AT37" s="10" t="str">
        <f>'D10'!V37</f>
        <v>P(19)=0.007%</v>
      </c>
    </row>
    <row r="38" ht="6.0" customHeight="1">
      <c r="A38" s="11"/>
      <c r="B38" s="12"/>
      <c r="C38" s="22"/>
      <c r="D38" s="21"/>
      <c r="E38" s="1"/>
      <c r="F38" s="1"/>
      <c r="G38" s="1"/>
      <c r="H38" s="1"/>
      <c r="I38" s="1"/>
      <c r="J38" s="1"/>
      <c r="K38" s="1"/>
      <c r="L38" s="7"/>
      <c r="M38" s="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40"/>
      <c r="AC38" s="1"/>
      <c r="AD38" s="7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7"/>
      <c r="AQ38" s="1"/>
      <c r="AR38" s="1"/>
      <c r="AS38" s="1"/>
      <c r="AT38" s="1"/>
    </row>
    <row r="39" ht="6.0" customHeight="1">
      <c r="A39" s="16">
        <f>FTA!A39</f>
        <v>0.114</v>
      </c>
      <c r="B39" s="12"/>
      <c r="C39" s="7"/>
      <c r="D39" s="1"/>
      <c r="E39" s="1"/>
      <c r="F39" s="1"/>
      <c r="G39" s="1"/>
      <c r="H39" s="1"/>
      <c r="I39" s="1"/>
      <c r="J39" s="1"/>
      <c r="K39" s="1"/>
      <c r="L39" s="7"/>
      <c r="M39" s="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7"/>
      <c r="AC39" s="1"/>
      <c r="AD39" s="7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7"/>
      <c r="AQ39" s="1"/>
      <c r="AR39" s="1"/>
      <c r="AS39" s="8" t="str">
        <f>'D10'!U39</f>
        <v>10-13-熱煙或毒性氣體未危害至儲能空間以外</v>
      </c>
      <c r="AT39" s="10" t="s">
        <v>32</v>
      </c>
    </row>
    <row r="40" ht="6.0" customHeight="1">
      <c r="A40" s="11"/>
      <c r="B40" s="21"/>
      <c r="C40" s="7"/>
      <c r="D40" s="1"/>
      <c r="E40" s="1"/>
      <c r="F40" s="1"/>
      <c r="G40" s="1"/>
      <c r="H40" s="1"/>
      <c r="I40" s="1"/>
      <c r="J40" s="1"/>
      <c r="K40" s="1"/>
      <c r="L40" s="7"/>
      <c r="M40" s="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7"/>
      <c r="AC40" s="1"/>
      <c r="AD40" s="7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7"/>
      <c r="AQ40" s="1"/>
      <c r="AR40" s="8" t="str">
        <f>'D10'!T40</f>
        <v>9-7-消防系統有效發揮冷卻作用</v>
      </c>
      <c r="AS40" s="13" t="str">
        <f>'D10'!U40</f>
        <v>R042=56.6% ~ 62.6%</v>
      </c>
      <c r="AT40" s="10" t="str">
        <f>'D10'!V40</f>
        <v>P(20)=0.036%</v>
      </c>
    </row>
    <row r="41" ht="6.0" customHeight="1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7"/>
      <c r="M41" s="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7"/>
      <c r="AC41" s="1"/>
      <c r="AD41" s="7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7"/>
      <c r="AQ41" s="1"/>
      <c r="AR41" s="13" t="str">
        <f>'D10'!T41</f>
        <v>R041=53.7% ~ 59.4%</v>
      </c>
      <c r="AS41" s="26"/>
      <c r="AT41" s="1"/>
    </row>
    <row r="42" ht="6.0" customHeight="1">
      <c r="A42" s="5" t="str">
        <f>FTA!A42</f>
        <v>F1-c1-1(t)</v>
      </c>
      <c r="B42" s="6" t="s">
        <v>33</v>
      </c>
      <c r="C42" s="7"/>
      <c r="D42" s="1"/>
      <c r="E42" s="1"/>
      <c r="F42" s="1"/>
      <c r="G42" s="1"/>
      <c r="H42" s="1"/>
      <c r="I42" s="1"/>
      <c r="J42" s="1"/>
      <c r="K42" s="1"/>
      <c r="L42" s="7"/>
      <c r="M42" s="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7"/>
      <c r="AC42" s="1"/>
      <c r="AD42" s="7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24"/>
      <c r="AP42" s="1"/>
      <c r="AQ42" s="24"/>
      <c r="AR42" s="1"/>
      <c r="AS42" s="30" t="str">
        <f>'D10'!U42</f>
        <v>10-14-熱煙或毒性氣體危害至儲能空間以外</v>
      </c>
      <c r="AT42" s="10" t="s">
        <v>34</v>
      </c>
    </row>
    <row r="43" ht="6.0" customHeight="1">
      <c r="A43" s="11"/>
      <c r="B43" s="12"/>
      <c r="C43" s="7"/>
      <c r="D43" s="1"/>
      <c r="E43" s="1"/>
      <c r="F43" s="1"/>
      <c r="G43" s="1"/>
      <c r="H43" s="1"/>
      <c r="I43" s="1"/>
      <c r="J43" s="1"/>
      <c r="K43" s="1"/>
      <c r="L43" s="7"/>
      <c r="M43" s="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7"/>
      <c r="AC43" s="1"/>
      <c r="AD43" s="7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30" t="str">
        <f>'D10'!R43</f>
        <v>8-4-可燃氣體濃度達到LFL</v>
      </c>
      <c r="AQ43" s="20"/>
      <c r="AR43" s="7"/>
      <c r="AS43" s="32" t="str">
        <f>'D10'!U43</f>
        <v>R043=37.4% ~ 43.4%</v>
      </c>
      <c r="AT43" s="10" t="str">
        <f>'D10'!V43</f>
        <v>P(21)=0.025%</v>
      </c>
    </row>
    <row r="44" ht="6.0" customHeight="1">
      <c r="A44" s="16">
        <f>FTA!A44</f>
        <v>0.1165</v>
      </c>
      <c r="B44" s="12"/>
      <c r="C44" s="17"/>
      <c r="D44" s="18" t="s">
        <v>4</v>
      </c>
      <c r="E44" s="19" t="str">
        <f>FTA!E44</f>
        <v>F1-c1(t)</v>
      </c>
      <c r="F44" s="6" t="s">
        <v>35</v>
      </c>
      <c r="G44" s="1"/>
      <c r="H44" s="1"/>
      <c r="I44" s="1"/>
      <c r="J44" s="1"/>
      <c r="K44" s="1"/>
      <c r="L44" s="7"/>
      <c r="M44" s="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7"/>
      <c r="AC44" s="1"/>
      <c r="AD44" s="7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32" t="str">
        <f>'D10'!R44</f>
        <v>R040=72.8% ~ 75.4%</v>
      </c>
      <c r="AQ44" s="14"/>
      <c r="AR44" s="7"/>
      <c r="AS44" s="1"/>
      <c r="AT44" s="1"/>
    </row>
    <row r="45" ht="6.0" customHeight="1">
      <c r="A45" s="11"/>
      <c r="B45" s="21"/>
      <c r="C45" s="22"/>
      <c r="D45" s="12"/>
      <c r="E45" s="23"/>
      <c r="F45" s="12"/>
      <c r="G45" s="1"/>
      <c r="H45" s="1"/>
      <c r="I45" s="1"/>
      <c r="J45" s="1"/>
      <c r="K45" s="1"/>
      <c r="L45" s="7"/>
      <c r="M45" s="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7"/>
      <c r="AC45" s="1"/>
      <c r="AD45" s="7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7"/>
      <c r="AS45" s="8" t="str">
        <f>'D10'!U45</f>
        <v>10-15-熱煙或毒性氣體未危害至儲能空間以外</v>
      </c>
      <c r="AT45" s="10" t="s">
        <v>36</v>
      </c>
    </row>
    <row r="46" ht="6.0" customHeight="1">
      <c r="A46" s="27"/>
      <c r="B46" s="1"/>
      <c r="C46" s="1"/>
      <c r="D46" s="12"/>
      <c r="E46" s="28">
        <f>FTA!E46</f>
        <v>0.014912</v>
      </c>
      <c r="F46" s="12"/>
      <c r="G46" s="29"/>
      <c r="H46" s="1"/>
      <c r="I46" s="1"/>
      <c r="J46" s="1"/>
      <c r="K46" s="1"/>
      <c r="L46" s="7"/>
      <c r="M46" s="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7"/>
      <c r="AC46" s="1"/>
      <c r="AD46" s="7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7"/>
      <c r="AS46" s="13" t="str">
        <f>'D10'!U46</f>
        <v>R045=45.3% ~ 50.1%</v>
      </c>
      <c r="AT46" s="10" t="str">
        <f>'D10'!V46</f>
        <v>P(22)=0.022%</v>
      </c>
    </row>
    <row r="47" ht="6.0" customHeight="1">
      <c r="A47" s="5" t="s">
        <v>37</v>
      </c>
      <c r="B47" s="6" t="s">
        <v>38</v>
      </c>
      <c r="C47" s="17"/>
      <c r="D47" s="12"/>
      <c r="E47" s="11"/>
      <c r="F47" s="21"/>
      <c r="G47" s="24"/>
      <c r="H47" s="1"/>
      <c r="I47" s="1"/>
      <c r="J47" s="1"/>
      <c r="K47" s="1"/>
      <c r="L47" s="7"/>
      <c r="M47" s="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7"/>
      <c r="AC47" s="1"/>
      <c r="AD47" s="7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30" t="str">
        <f>'D10'!T47</f>
        <v>9-8-消防系統無法發揮冷卻作用</v>
      </c>
      <c r="AS47" s="26"/>
      <c r="AT47" s="1"/>
    </row>
    <row r="48" ht="6.0" customHeight="1">
      <c r="A48" s="11"/>
      <c r="B48" s="12"/>
      <c r="C48" s="22"/>
      <c r="D48" s="21"/>
      <c r="E48" s="1"/>
      <c r="F48" s="1"/>
      <c r="G48" s="24"/>
      <c r="H48" s="1"/>
      <c r="I48" s="22" t="s">
        <v>4</v>
      </c>
      <c r="J48" s="1"/>
      <c r="K48" s="1"/>
      <c r="L48" s="7"/>
      <c r="M48" s="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7"/>
      <c r="AC48" s="1"/>
      <c r="AD48" s="7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32" t="str">
        <f>'D10'!T48</f>
        <v>R044=40.6% ~ 46.3%</v>
      </c>
      <c r="AS48" s="30" t="str">
        <f>'D10'!U48</f>
        <v>10-16-熱煙或毒性氣體危害至儲能空間以外</v>
      </c>
      <c r="AT48" s="10" t="s">
        <v>39</v>
      </c>
    </row>
    <row r="49" ht="6.0" customHeight="1">
      <c r="A49" s="16">
        <v>0.16</v>
      </c>
      <c r="B49" s="12"/>
      <c r="C49" s="7"/>
      <c r="D49" s="1"/>
      <c r="E49" s="1"/>
      <c r="F49" s="1"/>
      <c r="G49" s="24"/>
      <c r="H49" s="33"/>
      <c r="I49" s="12"/>
      <c r="J49" s="1"/>
      <c r="K49" s="1"/>
      <c r="L49" s="7"/>
      <c r="M49" s="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7"/>
      <c r="AC49" s="1"/>
      <c r="AD49" s="7"/>
      <c r="AE49" s="1"/>
      <c r="AF49" s="8" t="str">
        <f>'D10'!H49</f>
        <v>3-3-電芯未發生熱失控</v>
      </c>
      <c r="AG49" s="9"/>
      <c r="AH49" s="10" t="s">
        <v>40</v>
      </c>
      <c r="AI49" s="1"/>
      <c r="AJ49" s="8" t="str">
        <f>'D10'!L49</f>
        <v>5-5-未發生電芯熱失控傳播現象</v>
      </c>
      <c r="AK49" s="9"/>
      <c r="AL49" s="10" t="s">
        <v>41</v>
      </c>
      <c r="AM49" s="1"/>
      <c r="AN49" s="1"/>
      <c r="AO49" s="1"/>
      <c r="AP49" s="1"/>
      <c r="AQ49" s="1"/>
      <c r="AR49" s="1"/>
      <c r="AS49" s="32" t="str">
        <f>'D10'!U49</f>
        <v>R046=49.9% ~ 54.7%</v>
      </c>
      <c r="AT49" s="10" t="str">
        <f>'D10'!V49</f>
        <v>P(23)=0.024%</v>
      </c>
    </row>
    <row r="50" ht="6.0" customHeight="1">
      <c r="A50" s="11"/>
      <c r="B50" s="21"/>
      <c r="C50" s="7"/>
      <c r="D50" s="1"/>
      <c r="E50" s="1"/>
      <c r="F50" s="1"/>
      <c r="G50" s="24"/>
      <c r="H50" s="29"/>
      <c r="I50" s="12"/>
      <c r="J50" s="22"/>
      <c r="K50" s="1"/>
      <c r="L50" s="7"/>
      <c r="M50" s="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7"/>
      <c r="AC50" s="1"/>
      <c r="AD50" s="7"/>
      <c r="AE50" s="1"/>
      <c r="AF50" s="13" t="str">
        <f>'D10'!H50</f>
        <v>R048=22.6% ~ 24.9%</v>
      </c>
      <c r="AG50" s="15"/>
      <c r="AH50" s="10" t="s">
        <v>42</v>
      </c>
      <c r="AI50" s="1"/>
      <c r="AJ50" s="13" t="str">
        <f>'D10'!L50</f>
        <v>R051=61.1% ~ 67.5%</v>
      </c>
      <c r="AK50" s="15"/>
      <c r="AL50" s="10" t="s">
        <v>43</v>
      </c>
      <c r="AM50" s="1"/>
      <c r="AN50" s="1"/>
      <c r="AO50" s="1"/>
      <c r="AP50" s="1"/>
      <c r="AQ50" s="1"/>
      <c r="AR50" s="1"/>
      <c r="AS50" s="1"/>
      <c r="AT50" s="1"/>
    </row>
    <row r="51" ht="6.0" customHeight="1">
      <c r="A51" s="46"/>
      <c r="B51" s="37"/>
      <c r="C51" s="1"/>
      <c r="D51" s="1"/>
      <c r="E51" s="1"/>
      <c r="F51" s="1"/>
      <c r="G51" s="24"/>
      <c r="H51" s="1"/>
      <c r="I51" s="12"/>
      <c r="J51" s="24"/>
      <c r="K51" s="1"/>
      <c r="L51" s="7"/>
      <c r="M51" s="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7"/>
      <c r="AC51" s="1"/>
      <c r="AD51" s="7"/>
      <c r="AE51" s="1"/>
      <c r="AF51" s="7"/>
      <c r="AG51" s="1"/>
      <c r="AH51" s="31"/>
      <c r="AI51" s="1"/>
      <c r="AJ51" s="7"/>
      <c r="AK51" s="1"/>
      <c r="AL51" s="8" t="s">
        <v>44</v>
      </c>
      <c r="AM51" s="9"/>
      <c r="AN51" s="10" t="s">
        <v>45</v>
      </c>
      <c r="AO51" s="1"/>
      <c r="AP51" s="1"/>
      <c r="AQ51" s="1"/>
      <c r="AR51" s="1"/>
      <c r="AS51" s="8" t="str">
        <f>'D10'!U51</f>
        <v>10-17-熱煙或毒性氣體未危害至儲能空間以外</v>
      </c>
      <c r="AT51" s="10" t="s">
        <v>46</v>
      </c>
    </row>
    <row r="52" ht="6.0" customHeight="1">
      <c r="A52" s="5" t="s">
        <v>47</v>
      </c>
      <c r="B52" s="6" t="s">
        <v>48</v>
      </c>
      <c r="C52" s="7"/>
      <c r="D52" s="1"/>
      <c r="E52" s="1"/>
      <c r="F52" s="1"/>
      <c r="G52" s="24"/>
      <c r="H52" s="1"/>
      <c r="I52" s="21"/>
      <c r="J52" s="24"/>
      <c r="K52" s="1"/>
      <c r="L52" s="7"/>
      <c r="M52" s="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7"/>
      <c r="AC52" s="1"/>
      <c r="AD52" s="7"/>
      <c r="AE52" s="1"/>
      <c r="AF52" s="7"/>
      <c r="AG52" s="1"/>
      <c r="AH52" s="8" t="str">
        <f>'D10'!J52</f>
        <v>4-3-通風排出裝置啟動</v>
      </c>
      <c r="AI52" s="20"/>
      <c r="AJ52" s="7"/>
      <c r="AK52" s="1"/>
      <c r="AL52" s="13" t="s">
        <v>49</v>
      </c>
      <c r="AM52" s="15"/>
      <c r="AN52" s="10" t="s">
        <v>50</v>
      </c>
      <c r="AO52" s="1"/>
      <c r="AP52" s="1"/>
      <c r="AQ52" s="1"/>
      <c r="AR52" s="8" t="str">
        <f>'D10'!T52</f>
        <v>9-9-消防系統有效發揮冷卻作用</v>
      </c>
      <c r="AS52" s="13" t="str">
        <f>'D10'!U52</f>
        <v>R059=56.6% ~ 62.6%</v>
      </c>
      <c r="AT52" s="10" t="str">
        <f>'D10'!V52</f>
        <v>P(28)=0.013%</v>
      </c>
    </row>
    <row r="53" ht="6.0" customHeight="1">
      <c r="A53" s="11"/>
      <c r="B53" s="12"/>
      <c r="C53" s="7"/>
      <c r="D53" s="1"/>
      <c r="E53" s="1"/>
      <c r="F53" s="37"/>
      <c r="G53" s="39"/>
      <c r="H53" s="1"/>
      <c r="I53" s="1"/>
      <c r="J53" s="24"/>
      <c r="K53" s="1"/>
      <c r="L53" s="7"/>
      <c r="M53" s="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7"/>
      <c r="AC53" s="1"/>
      <c r="AD53" s="7"/>
      <c r="AE53" s="1"/>
      <c r="AF53" s="7"/>
      <c r="AG53" s="24"/>
      <c r="AH53" s="25" t="str">
        <f>'D10'!J53</f>
        <v>R050=19.7% ~ 21.7%</v>
      </c>
      <c r="AI53" s="14"/>
      <c r="AJ53" s="7"/>
      <c r="AK53" s="1"/>
      <c r="AL53" s="7"/>
      <c r="AM53" s="1"/>
      <c r="AN53" s="8" t="str">
        <f>'D10'!P53</f>
        <v>7-5-未發生電池櫃熱失控傳播現象</v>
      </c>
      <c r="AO53" s="9"/>
      <c r="AP53" s="10" t="s">
        <v>51</v>
      </c>
      <c r="AQ53" s="1"/>
      <c r="AR53" s="13" t="str">
        <f>'D10'!T53</f>
        <v>R058=63.2% ~ 69.9%</v>
      </c>
      <c r="AS53" s="26"/>
      <c r="AT53" s="1"/>
    </row>
    <row r="54" ht="6.0" customHeight="1">
      <c r="A54" s="16">
        <v>0.147</v>
      </c>
      <c r="B54" s="12"/>
      <c r="C54" s="17"/>
      <c r="D54" s="18" t="s">
        <v>4</v>
      </c>
      <c r="E54" s="19" t="str">
        <f>FTA!E54</f>
        <v>F1-c2(t)</v>
      </c>
      <c r="F54" s="6" t="s">
        <v>52</v>
      </c>
      <c r="G54" s="41"/>
      <c r="H54" s="1"/>
      <c r="I54" s="1"/>
      <c r="J54" s="24"/>
      <c r="K54" s="1"/>
      <c r="L54" s="7"/>
      <c r="M54" s="7"/>
      <c r="N54" s="1"/>
      <c r="O54" s="1"/>
      <c r="P54" s="1"/>
      <c r="Q54" s="1"/>
      <c r="R54" s="2"/>
      <c r="S54" s="1"/>
      <c r="T54" s="1"/>
      <c r="U54" s="1"/>
      <c r="V54" s="1"/>
      <c r="W54" s="1"/>
      <c r="X54" s="1"/>
      <c r="Y54" s="47" t="s">
        <v>53</v>
      </c>
      <c r="AA54" s="1"/>
      <c r="AB54" s="7"/>
      <c r="AC54" s="1"/>
      <c r="AD54" s="7"/>
      <c r="AE54" s="1"/>
      <c r="AF54" s="7"/>
      <c r="AG54" s="24"/>
      <c r="AH54" s="1"/>
      <c r="AI54" s="24"/>
      <c r="AJ54" s="30" t="str">
        <f>'D10'!L54</f>
        <v>5-6-發生電芯熱失控傳播現象</v>
      </c>
      <c r="AK54" s="20"/>
      <c r="AL54" s="7"/>
      <c r="AM54" s="1"/>
      <c r="AN54" s="13" t="str">
        <f>'D10'!P54</f>
        <v>R055=73.1% ~ 80.8%</v>
      </c>
      <c r="AO54" s="15"/>
      <c r="AP54" s="10" t="s">
        <v>54</v>
      </c>
      <c r="AQ54" s="24"/>
      <c r="AR54" s="1"/>
      <c r="AS54" s="30" t="str">
        <f>'D10'!U54</f>
        <v>10-18-熱煙或毒性氣體危害至儲能空間以外</v>
      </c>
      <c r="AT54" s="10" t="s">
        <v>55</v>
      </c>
    </row>
    <row r="55" ht="6.0" customHeight="1">
      <c r="A55" s="11"/>
      <c r="B55" s="21"/>
      <c r="C55" s="22"/>
      <c r="D55" s="12"/>
      <c r="E55" s="23"/>
      <c r="F55" s="12"/>
      <c r="G55" s="17"/>
      <c r="H55" s="1"/>
      <c r="I55" s="1"/>
      <c r="J55" s="24"/>
      <c r="K55" s="1"/>
      <c r="L55" s="7"/>
      <c r="M55" s="7"/>
      <c r="N55" s="1"/>
      <c r="O55" s="1"/>
      <c r="P55" s="1"/>
      <c r="Q55" s="1"/>
      <c r="R55" s="48" t="s">
        <v>56</v>
      </c>
      <c r="S55" s="7"/>
      <c r="T55" s="1"/>
      <c r="U55" s="1"/>
      <c r="V55" s="49" t="s">
        <v>57</v>
      </c>
      <c r="W55" s="1"/>
      <c r="X55" s="1"/>
      <c r="Y55" s="9"/>
      <c r="Z55" s="9"/>
      <c r="AA55" s="1"/>
      <c r="AB55" s="7"/>
      <c r="AC55" s="1"/>
      <c r="AD55" s="7"/>
      <c r="AE55" s="1"/>
      <c r="AF55" s="7"/>
      <c r="AG55" s="24"/>
      <c r="AH55" s="1"/>
      <c r="AI55" s="1"/>
      <c r="AJ55" s="32" t="str">
        <f>'D10'!L55</f>
        <v>R052=32.5% ~ 38.9%</v>
      </c>
      <c r="AK55" s="14"/>
      <c r="AL55" s="7"/>
      <c r="AM55" s="1"/>
      <c r="AN55" s="7"/>
      <c r="AO55" s="1"/>
      <c r="AP55" s="8" t="str">
        <f>'D10'!R55</f>
        <v>8-5-可燃氣體濃度未達到LFL</v>
      </c>
      <c r="AQ55" s="20"/>
      <c r="AR55" s="7"/>
      <c r="AS55" s="32" t="str">
        <f>'D10'!U55</f>
        <v>R060=37.4% ~ 43.4%</v>
      </c>
      <c r="AT55" s="10" t="str">
        <f>'D10'!V55</f>
        <v>P(29)=0.009%</v>
      </c>
    </row>
    <row r="56" ht="6.0" customHeight="1">
      <c r="A56" s="1"/>
      <c r="B56" s="1"/>
      <c r="C56" s="1"/>
      <c r="D56" s="12"/>
      <c r="E56" s="28">
        <f>FTA!E56</f>
        <v>0.01584</v>
      </c>
      <c r="F56" s="12"/>
      <c r="G56" s="1"/>
      <c r="H56" s="1"/>
      <c r="I56" s="1"/>
      <c r="J56" s="24"/>
      <c r="K56" s="1"/>
      <c r="L56" s="7"/>
      <c r="M56" s="7"/>
      <c r="N56" s="1"/>
      <c r="O56" s="1"/>
      <c r="P56" s="1"/>
      <c r="Q56" s="5" t="str">
        <f>FTA!Q3</f>
        <v>F1(t)</v>
      </c>
      <c r="R56" s="12"/>
      <c r="S56" s="7"/>
      <c r="T56" s="1"/>
      <c r="U56" s="1"/>
      <c r="W56" s="1"/>
      <c r="X56" s="1"/>
      <c r="Y56" s="50" t="s">
        <v>58</v>
      </c>
      <c r="Z56" s="14"/>
      <c r="AA56" s="1"/>
      <c r="AB56" s="7"/>
      <c r="AC56" s="1"/>
      <c r="AD56" s="30" t="str">
        <f>'D10'!F56</f>
        <v>2-2-BESS未緊急安全關斷</v>
      </c>
      <c r="AE56" s="20"/>
      <c r="AF56" s="7"/>
      <c r="AG56" s="24"/>
      <c r="AH56" s="1"/>
      <c r="AI56" s="1"/>
      <c r="AJ56" s="1"/>
      <c r="AK56" s="24"/>
      <c r="AL56" s="1"/>
      <c r="AM56" s="24"/>
      <c r="AN56" s="1"/>
      <c r="AO56" s="1"/>
      <c r="AP56" s="13" t="str">
        <f>'D10'!R56</f>
        <v>R057=49.2% ~ 54.4%</v>
      </c>
      <c r="AQ56" s="14"/>
      <c r="AR56" s="7"/>
      <c r="AS56" s="1"/>
      <c r="AT56" s="1"/>
    </row>
    <row r="57" ht="6.0" customHeight="1">
      <c r="A57" s="5" t="s">
        <v>59</v>
      </c>
      <c r="B57" s="6" t="s">
        <v>60</v>
      </c>
      <c r="C57" s="17"/>
      <c r="D57" s="12"/>
      <c r="E57" s="11"/>
      <c r="F57" s="21"/>
      <c r="G57" s="1"/>
      <c r="H57" s="1"/>
      <c r="I57" s="1"/>
      <c r="J57" s="24"/>
      <c r="K57" s="1"/>
      <c r="L57" s="7"/>
      <c r="M57" s="51"/>
      <c r="N57" s="1"/>
      <c r="O57" s="22" t="s">
        <v>61</v>
      </c>
      <c r="P57" s="1"/>
      <c r="Q57" s="20"/>
      <c r="R57" s="12"/>
      <c r="S57" s="17"/>
      <c r="T57" s="22" t="s">
        <v>4</v>
      </c>
      <c r="U57" s="1"/>
      <c r="V57" s="9"/>
      <c r="W57" s="22" t="s">
        <v>61</v>
      </c>
      <c r="X57" s="1"/>
      <c r="Y57" s="52"/>
      <c r="Z57" s="11"/>
      <c r="AA57" s="1"/>
      <c r="AB57" s="7"/>
      <c r="AC57" s="1"/>
      <c r="AD57" s="32" t="str">
        <f>'D10'!F57</f>
        <v>R047=24.8% ~ 31.9%</v>
      </c>
      <c r="AE57" s="14"/>
      <c r="AF57" s="7"/>
      <c r="AG57" s="24"/>
      <c r="AH57" s="31"/>
      <c r="AI57" s="1"/>
      <c r="AJ57" s="1"/>
      <c r="AK57" s="1"/>
      <c r="AL57" s="30" t="s">
        <v>62</v>
      </c>
      <c r="AM57" s="20"/>
      <c r="AN57" s="7"/>
      <c r="AO57" s="1"/>
      <c r="AP57" s="7"/>
      <c r="AQ57" s="1"/>
      <c r="AR57" s="7"/>
      <c r="AS57" s="8" t="str">
        <f>'D10'!U57</f>
        <v>10-19-熱煙或毒性氣體未危害至儲能空間以外</v>
      </c>
      <c r="AT57" s="10" t="s">
        <v>63</v>
      </c>
    </row>
    <row r="58" ht="6.0" customHeight="1">
      <c r="A58" s="11"/>
      <c r="B58" s="12"/>
      <c r="C58" s="22"/>
      <c r="D58" s="21"/>
      <c r="E58" s="1"/>
      <c r="F58" s="1"/>
      <c r="G58" s="1"/>
      <c r="H58" s="1"/>
      <c r="I58" s="1"/>
      <c r="J58" s="24"/>
      <c r="K58" s="1"/>
      <c r="L58" s="51"/>
      <c r="M58" s="53"/>
      <c r="N58" s="54"/>
      <c r="O58" s="12"/>
      <c r="P58" s="34"/>
      <c r="Q58" s="55">
        <f>FTA!Q5</f>
        <v>0.000945071616</v>
      </c>
      <c r="R58" s="21"/>
      <c r="S58" s="22"/>
      <c r="T58" s="12"/>
      <c r="U58" s="34"/>
      <c r="V58" s="56">
        <v>2.877306461568E-5</v>
      </c>
      <c r="W58" s="12"/>
      <c r="X58" s="51"/>
      <c r="Y58" s="52"/>
      <c r="Z58" s="11"/>
      <c r="AA58" s="1"/>
      <c r="AB58" s="7"/>
      <c r="AC58" s="1"/>
      <c r="AD58" s="1"/>
      <c r="AE58" s="24"/>
      <c r="AF58" s="7"/>
      <c r="AG58" s="24"/>
      <c r="AH58" s="31"/>
      <c r="AI58" s="1"/>
      <c r="AJ58" s="1"/>
      <c r="AK58" s="1"/>
      <c r="AL58" s="32" t="s">
        <v>64</v>
      </c>
      <c r="AM58" s="14"/>
      <c r="AN58" s="7"/>
      <c r="AO58" s="1"/>
      <c r="AP58" s="7"/>
      <c r="AQ58" s="1"/>
      <c r="AR58" s="7"/>
      <c r="AS58" s="13" t="str">
        <f>'D10'!U58</f>
        <v>R062=45.3% ~ 50.1%</v>
      </c>
      <c r="AT58" s="10" t="str">
        <f>'D10'!V58</f>
        <v>P(30)=0.005%</v>
      </c>
    </row>
    <row r="59" ht="6.0" customHeight="1">
      <c r="A59" s="16">
        <v>0.132</v>
      </c>
      <c r="B59" s="12"/>
      <c r="C59" s="7"/>
      <c r="D59" s="1"/>
      <c r="E59" s="1"/>
      <c r="F59" s="1"/>
      <c r="G59" s="1"/>
      <c r="H59" s="1"/>
      <c r="I59" s="1"/>
      <c r="J59" s="24"/>
      <c r="K59" s="1"/>
      <c r="L59" s="44"/>
      <c r="M59" s="53"/>
      <c r="N59" s="54"/>
      <c r="O59" s="12"/>
      <c r="P59" s="1"/>
      <c r="R59" s="53"/>
      <c r="S59" s="1"/>
      <c r="T59" s="12"/>
      <c r="U59" s="1"/>
      <c r="V59" s="20"/>
      <c r="W59" s="12"/>
      <c r="X59" s="45"/>
      <c r="Y59" s="52"/>
      <c r="Z59" s="11"/>
      <c r="AA59" s="22"/>
      <c r="AB59" s="7"/>
      <c r="AC59" s="1"/>
      <c r="AD59" s="1"/>
      <c r="AE59" s="1"/>
      <c r="AF59" s="7"/>
      <c r="AG59" s="24"/>
      <c r="AH59" s="1"/>
      <c r="AI59" s="1"/>
      <c r="AJ59" s="1"/>
      <c r="AK59" s="1"/>
      <c r="AL59" s="1"/>
      <c r="AM59" s="1"/>
      <c r="AN59" s="7"/>
      <c r="AO59" s="1"/>
      <c r="AP59" s="7"/>
      <c r="AQ59" s="1"/>
      <c r="AR59" s="30" t="str">
        <f>'D10'!T59</f>
        <v>9-10-消防系統無法發揮冷卻作用</v>
      </c>
      <c r="AS59" s="26"/>
      <c r="AT59" s="1"/>
    </row>
    <row r="60" ht="6.0" customHeight="1">
      <c r="A60" s="11"/>
      <c r="B60" s="21"/>
      <c r="C60" s="7"/>
      <c r="D60" s="1"/>
      <c r="E60" s="1"/>
      <c r="F60" s="1"/>
      <c r="G60" s="1"/>
      <c r="H60" s="1"/>
      <c r="I60" s="1"/>
      <c r="J60" s="1"/>
      <c r="K60" s="34"/>
      <c r="L60" s="34"/>
      <c r="M60" s="34"/>
      <c r="N60" s="29"/>
      <c r="O60" s="12"/>
      <c r="P60" s="1"/>
      <c r="Q60" s="5" t="str">
        <f>FTA!Q7</f>
        <v>F2(t)</v>
      </c>
      <c r="R60" s="57" t="s">
        <v>65</v>
      </c>
      <c r="S60" s="17"/>
      <c r="T60" s="12"/>
      <c r="U60" s="1"/>
      <c r="V60" s="58" t="s">
        <v>66</v>
      </c>
      <c r="W60" s="12"/>
      <c r="X60" s="1"/>
      <c r="Y60" s="52"/>
      <c r="Z60" s="11"/>
      <c r="AA60" s="1"/>
      <c r="AB60" s="7"/>
      <c r="AC60" s="1"/>
      <c r="AD60" s="1"/>
      <c r="AE60" s="1"/>
      <c r="AF60" s="7"/>
      <c r="AG60" s="24"/>
      <c r="AH60" s="1"/>
      <c r="AI60" s="1"/>
      <c r="AJ60" s="1"/>
      <c r="AK60" s="1"/>
      <c r="AL60" s="1"/>
      <c r="AM60" s="24"/>
      <c r="AN60" s="1"/>
      <c r="AO60" s="24"/>
      <c r="AP60" s="1"/>
      <c r="AQ60" s="1"/>
      <c r="AR60" s="32" t="str">
        <f>'D10'!T60</f>
        <v>R061=30.1% ~ 36.8%</v>
      </c>
      <c r="AS60" s="30" t="str">
        <f>'D10'!U60</f>
        <v>10-20-熱煙或毒性氣體危害至儲能空間以外</v>
      </c>
      <c r="AT60" s="10" t="s">
        <v>67</v>
      </c>
    </row>
    <row r="61" ht="6.0" customHeight="1">
      <c r="A61" s="5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4"/>
      <c r="N61" s="22"/>
      <c r="O61" s="21"/>
      <c r="P61" s="1"/>
      <c r="Q61" s="20"/>
      <c r="R61" s="12"/>
      <c r="S61" s="22"/>
      <c r="T61" s="21"/>
      <c r="U61" s="1"/>
      <c r="V61" s="12"/>
      <c r="W61" s="21"/>
      <c r="X61" s="1"/>
      <c r="Y61" s="52"/>
      <c r="Z61" s="11"/>
      <c r="AA61" s="1"/>
      <c r="AB61" s="7"/>
      <c r="AC61" s="1"/>
      <c r="AD61" s="1"/>
      <c r="AE61" s="1"/>
      <c r="AF61" s="7"/>
      <c r="AG61" s="24"/>
      <c r="AH61" s="1"/>
      <c r="AI61" s="1"/>
      <c r="AJ61" s="1"/>
      <c r="AK61" s="1"/>
      <c r="AL61" s="1"/>
      <c r="AM61" s="1"/>
      <c r="AN61" s="30" t="str">
        <f>'D10'!P61</f>
        <v>7-6-發生電池櫃熱失控傳播現象</v>
      </c>
      <c r="AO61" s="20"/>
      <c r="AP61" s="7"/>
      <c r="AQ61" s="1"/>
      <c r="AR61" s="1"/>
      <c r="AS61" s="32" t="str">
        <f>'D10'!U61</f>
        <v>R063=49.9% ~ 54.7%</v>
      </c>
      <c r="AT61" s="10" t="str">
        <f>'D10'!V61</f>
        <v>P(31)=0.006%</v>
      </c>
    </row>
    <row r="62" ht="6.0" customHeight="1">
      <c r="A62" s="5" t="s">
        <v>68</v>
      </c>
      <c r="B62" s="6" t="s">
        <v>69</v>
      </c>
      <c r="C62" s="7"/>
      <c r="D62" s="1"/>
      <c r="E62" s="1"/>
      <c r="F62" s="1"/>
      <c r="G62" s="1"/>
      <c r="H62" s="1"/>
      <c r="I62" s="1"/>
      <c r="J62" s="1"/>
      <c r="K62" s="1"/>
      <c r="L62" s="1"/>
      <c r="M62" s="24"/>
      <c r="N62" s="1"/>
      <c r="O62" s="1"/>
      <c r="P62" s="1"/>
      <c r="Q62" s="60">
        <f>FTA!Q9</f>
        <v>0.013</v>
      </c>
      <c r="R62" s="12"/>
      <c r="S62" s="7"/>
      <c r="T62" s="1"/>
      <c r="U62" s="1"/>
      <c r="V62" s="61">
        <f>FTA!V9</f>
        <v>0.01624</v>
      </c>
      <c r="W62" s="34"/>
      <c r="X62" s="1"/>
      <c r="Y62" s="23"/>
      <c r="Z62" s="20"/>
      <c r="AA62" s="1"/>
      <c r="AB62" s="7"/>
      <c r="AC62" s="1"/>
      <c r="AD62" s="1"/>
      <c r="AE62" s="1"/>
      <c r="AF62" s="7"/>
      <c r="AG62" s="24"/>
      <c r="AH62" s="1"/>
      <c r="AI62" s="1"/>
      <c r="AJ62" s="1"/>
      <c r="AK62" s="1"/>
      <c r="AL62" s="1"/>
      <c r="AM62" s="1"/>
      <c r="AN62" s="32" t="str">
        <f>'D10'!P62</f>
        <v>R056=19.2% ~ 26.9%</v>
      </c>
      <c r="AO62" s="14"/>
      <c r="AP62" s="7"/>
      <c r="AQ62" s="1"/>
      <c r="AR62" s="1"/>
      <c r="AS62" s="1"/>
      <c r="AT62" s="1"/>
    </row>
    <row r="63" ht="6.0" customHeight="1">
      <c r="A63" s="11"/>
      <c r="B63" s="12"/>
      <c r="C63" s="7"/>
      <c r="D63" s="1"/>
      <c r="E63" s="1"/>
      <c r="F63" s="1"/>
      <c r="G63" s="1"/>
      <c r="H63" s="1"/>
      <c r="I63" s="1"/>
      <c r="J63" s="1"/>
      <c r="K63" s="1"/>
      <c r="L63" s="1"/>
      <c r="M63" s="24"/>
      <c r="N63" s="1"/>
      <c r="O63" s="1"/>
      <c r="P63" s="1"/>
      <c r="Q63" s="12"/>
      <c r="R63" s="21"/>
      <c r="S63" s="1"/>
      <c r="T63" s="1"/>
      <c r="U63" s="1"/>
      <c r="V63" s="52"/>
      <c r="W63" s="1"/>
      <c r="X63" s="1"/>
      <c r="Y63" s="62" t="s">
        <v>70</v>
      </c>
      <c r="Z63" s="63">
        <f>FTA!Z10</f>
        <v>0.01625228593</v>
      </c>
      <c r="AA63" s="1"/>
      <c r="AB63" s="7"/>
      <c r="AC63" s="1"/>
      <c r="AD63" s="1"/>
      <c r="AE63" s="1"/>
      <c r="AF63" s="30" t="str">
        <f>'D10'!H63</f>
        <v>3-4-電芯發生熱失控</v>
      </c>
      <c r="AG63" s="20"/>
      <c r="AH63" s="1"/>
      <c r="AI63" s="1"/>
      <c r="AJ63" s="1"/>
      <c r="AK63" s="1"/>
      <c r="AL63" s="1"/>
      <c r="AM63" s="1"/>
      <c r="AN63" s="1"/>
      <c r="AO63" s="1"/>
      <c r="AP63" s="7"/>
      <c r="AQ63" s="1"/>
      <c r="AR63" s="1"/>
      <c r="AS63" s="8" t="str">
        <f>'D10'!U63</f>
        <v>10-21-熱煙或毒性氣體未危害至儲能空間以外</v>
      </c>
      <c r="AT63" s="10" t="s">
        <v>71</v>
      </c>
    </row>
    <row r="64" ht="6.0" customHeight="1">
      <c r="A64" s="16">
        <v>0.131499999999999</v>
      </c>
      <c r="B64" s="12"/>
      <c r="C64" s="17"/>
      <c r="D64" s="18" t="s">
        <v>4</v>
      </c>
      <c r="E64" s="19" t="str">
        <f>FTA!E64</f>
        <v>F1-d1(t)</v>
      </c>
      <c r="F64" s="6" t="s">
        <v>72</v>
      </c>
      <c r="G64" s="1"/>
      <c r="H64" s="1"/>
      <c r="I64" s="1"/>
      <c r="J64" s="1"/>
      <c r="K64" s="1"/>
      <c r="L64" s="1"/>
      <c r="M64" s="24"/>
      <c r="N64" s="1"/>
      <c r="O64" s="1"/>
      <c r="P64" s="24"/>
      <c r="Q64" s="1"/>
      <c r="R64" s="37"/>
      <c r="S64" s="7"/>
      <c r="T64" s="1"/>
      <c r="U64" s="1"/>
      <c r="V64" s="7"/>
      <c r="W64" s="1"/>
      <c r="X64" s="1"/>
      <c r="AA64" s="1"/>
      <c r="AB64" s="7"/>
      <c r="AC64" s="1"/>
      <c r="AD64" s="1"/>
      <c r="AE64" s="1"/>
      <c r="AF64" s="32" t="str">
        <f>'D10'!H64</f>
        <v>R049=75.1% ~ 77.4%</v>
      </c>
      <c r="AG64" s="14"/>
      <c r="AH64" s="1"/>
      <c r="AI64" s="1"/>
      <c r="AJ64" s="1"/>
      <c r="AK64" s="1"/>
      <c r="AL64" s="1"/>
      <c r="AM64" s="1"/>
      <c r="AN64" s="1"/>
      <c r="AO64" s="1"/>
      <c r="AP64" s="7"/>
      <c r="AQ64" s="1"/>
      <c r="AR64" s="8" t="str">
        <f>'D10'!T64</f>
        <v>9-11-消防系統有效發揮冷卻作用</v>
      </c>
      <c r="AS64" s="13" t="str">
        <f>'D10'!U64</f>
        <v>R066=56.6% ~ 62.6%</v>
      </c>
      <c r="AT64" s="10" t="str">
        <f>'D10'!V64</f>
        <v>P(32)=0.010%</v>
      </c>
    </row>
    <row r="65" ht="6.0" customHeight="1">
      <c r="A65" s="11"/>
      <c r="B65" s="21"/>
      <c r="C65" s="22"/>
      <c r="D65" s="12"/>
      <c r="E65" s="23"/>
      <c r="F65" s="12"/>
      <c r="G65" s="1"/>
      <c r="H65" s="1"/>
      <c r="I65" s="1"/>
      <c r="J65" s="1"/>
      <c r="K65" s="1"/>
      <c r="L65" s="1"/>
      <c r="M65" s="24"/>
      <c r="N65" s="1"/>
      <c r="O65" s="1"/>
      <c r="P65" s="24"/>
      <c r="Q65" s="64" t="str">
        <f>FTA!Q12</f>
        <v>F2-a1(t)</v>
      </c>
      <c r="R65" s="65" t="s">
        <v>73</v>
      </c>
      <c r="S65" s="1"/>
      <c r="T65" s="1"/>
      <c r="U65" s="1"/>
      <c r="V65" s="7"/>
      <c r="W65" s="1"/>
      <c r="X65" s="1"/>
      <c r="Y65" s="1"/>
      <c r="Z65" s="1"/>
      <c r="AA65" s="1"/>
      <c r="AB65" s="7"/>
      <c r="AC65" s="1"/>
      <c r="AD65" s="1"/>
      <c r="AE65" s="1"/>
      <c r="AF65" s="1"/>
      <c r="AG65" s="24"/>
      <c r="AH65" s="1"/>
      <c r="AI65" s="1"/>
      <c r="AJ65" s="1"/>
      <c r="AK65" s="1"/>
      <c r="AL65" s="1"/>
      <c r="AM65" s="1"/>
      <c r="AN65" s="1"/>
      <c r="AO65" s="1"/>
      <c r="AP65" s="7"/>
      <c r="AQ65" s="1"/>
      <c r="AR65" s="13" t="str">
        <f>'D10'!T65</f>
        <v>R065=53.7% ~ 59.4%</v>
      </c>
      <c r="AS65" s="26"/>
      <c r="AT65" s="1"/>
    </row>
    <row r="66" ht="6.0" customHeight="1">
      <c r="A66" s="1"/>
      <c r="B66" s="1"/>
      <c r="C66" s="1"/>
      <c r="D66" s="12"/>
      <c r="E66" s="28">
        <f>FTA!E66</f>
        <v>0.014272</v>
      </c>
      <c r="F66" s="12"/>
      <c r="G66" s="29"/>
      <c r="H66" s="1"/>
      <c r="I66" s="1"/>
      <c r="J66" s="1"/>
      <c r="K66" s="1"/>
      <c r="L66" s="1"/>
      <c r="M66" s="24"/>
      <c r="N66" s="1"/>
      <c r="O66" s="1"/>
      <c r="P66" s="24"/>
      <c r="Q66" s="12"/>
      <c r="R66" s="12"/>
      <c r="S66" s="1"/>
      <c r="T66" s="1"/>
      <c r="U66" s="1"/>
      <c r="V66" s="7"/>
      <c r="W66" s="1"/>
      <c r="X66" s="1"/>
      <c r="Y66" s="1"/>
      <c r="Z66" s="1"/>
      <c r="AA66" s="1"/>
      <c r="AB66" s="7"/>
      <c r="AC66" s="1"/>
      <c r="AD66" s="1"/>
      <c r="AE66" s="1"/>
      <c r="AF66" s="1"/>
      <c r="AG66" s="24"/>
      <c r="AH66" s="1"/>
      <c r="AI66" s="1"/>
      <c r="AJ66" s="1"/>
      <c r="AK66" s="1"/>
      <c r="AL66" s="1"/>
      <c r="AM66" s="1"/>
      <c r="AN66" s="1"/>
      <c r="AO66" s="24"/>
      <c r="AP66" s="1"/>
      <c r="AQ66" s="24"/>
      <c r="AR66" s="1"/>
      <c r="AS66" s="30" t="str">
        <f>'D10'!U66</f>
        <v>10-22-熱煙或毒性氣體危害至儲能空間以外</v>
      </c>
      <c r="AT66" s="10" t="s">
        <v>74</v>
      </c>
    </row>
    <row r="67" ht="6.0" customHeight="1">
      <c r="A67" s="5" t="s">
        <v>75</v>
      </c>
      <c r="B67" s="6" t="s">
        <v>76</v>
      </c>
      <c r="C67" s="17"/>
      <c r="D67" s="12"/>
      <c r="E67" s="11"/>
      <c r="F67" s="21"/>
      <c r="G67" s="24"/>
      <c r="H67" s="1"/>
      <c r="I67" s="1"/>
      <c r="J67" s="1"/>
      <c r="K67" s="1"/>
      <c r="L67" s="1"/>
      <c r="M67" s="24"/>
      <c r="N67" s="1"/>
      <c r="O67" s="1"/>
      <c r="P67" s="24"/>
      <c r="Q67" s="66">
        <f>FTA!Q14</f>
        <v>0.116</v>
      </c>
      <c r="R67" s="12"/>
      <c r="S67" s="17"/>
      <c r="T67" s="22" t="s">
        <v>4</v>
      </c>
      <c r="U67" s="1"/>
      <c r="V67" s="7"/>
      <c r="W67" s="1"/>
      <c r="X67" s="1"/>
      <c r="Y67" s="1"/>
      <c r="Z67" s="1"/>
      <c r="AA67" s="1"/>
      <c r="AB67" s="7"/>
      <c r="AC67" s="1"/>
      <c r="AD67" s="1"/>
      <c r="AE67" s="1"/>
      <c r="AF67" s="1"/>
      <c r="AG67" s="24"/>
      <c r="AH67" s="1"/>
      <c r="AI67" s="1"/>
      <c r="AJ67" s="1"/>
      <c r="AK67" s="1"/>
      <c r="AL67" s="1"/>
      <c r="AM67" s="1"/>
      <c r="AN67" s="1"/>
      <c r="AO67" s="1"/>
      <c r="AP67" s="30" t="str">
        <f>'D10'!R67</f>
        <v>8-6-可燃氣體濃度達到LFL</v>
      </c>
      <c r="AQ67" s="20"/>
      <c r="AR67" s="7"/>
      <c r="AS67" s="32" t="str">
        <f>'D10'!U67</f>
        <v>R067=37.4% ~ 43.4%</v>
      </c>
      <c r="AT67" s="10" t="str">
        <f>'D10'!V67</f>
        <v>P(33)=0.007%</v>
      </c>
    </row>
    <row r="68" ht="6.0" customHeight="1">
      <c r="A68" s="11"/>
      <c r="B68" s="12"/>
      <c r="C68" s="22"/>
      <c r="D68" s="21"/>
      <c r="E68" s="1"/>
      <c r="F68" s="1"/>
      <c r="G68" s="24"/>
      <c r="H68" s="1"/>
      <c r="I68" s="22" t="s">
        <v>4</v>
      </c>
      <c r="J68" s="1"/>
      <c r="K68" s="1"/>
      <c r="L68" s="1"/>
      <c r="M68" s="24"/>
      <c r="N68" s="1"/>
      <c r="O68" s="1"/>
      <c r="P68" s="24"/>
      <c r="Q68" s="12"/>
      <c r="R68" s="21"/>
      <c r="S68" s="22"/>
      <c r="T68" s="12"/>
      <c r="U68" s="41"/>
      <c r="V68" s="1"/>
      <c r="W68" s="1"/>
      <c r="X68" s="1"/>
      <c r="Y68" s="1"/>
      <c r="Z68" s="1"/>
      <c r="AA68" s="1"/>
      <c r="AB68" s="7"/>
      <c r="AC68" s="1"/>
      <c r="AD68" s="1"/>
      <c r="AE68" s="1"/>
      <c r="AF68" s="1"/>
      <c r="AG68" s="24"/>
      <c r="AH68" s="1"/>
      <c r="AI68" s="1"/>
      <c r="AJ68" s="1"/>
      <c r="AK68" s="1"/>
      <c r="AL68" s="1"/>
      <c r="AM68" s="1"/>
      <c r="AN68" s="1"/>
      <c r="AO68" s="1"/>
      <c r="AP68" s="32" t="str">
        <f>'D10'!R68</f>
        <v>R064=45.6% ~ 50.8%</v>
      </c>
      <c r="AQ68" s="14"/>
      <c r="AR68" s="7"/>
      <c r="AS68" s="1"/>
      <c r="AT68" s="1"/>
    </row>
    <row r="69" ht="6.0" customHeight="1">
      <c r="A69" s="16">
        <v>0.16</v>
      </c>
      <c r="B69" s="12"/>
      <c r="C69" s="7"/>
      <c r="D69" s="1"/>
      <c r="E69" s="1"/>
      <c r="F69" s="1"/>
      <c r="G69" s="24"/>
      <c r="H69" s="33"/>
      <c r="I69" s="12"/>
      <c r="J69" s="1"/>
      <c r="K69" s="44"/>
      <c r="L69" s="44"/>
      <c r="M69" s="33"/>
      <c r="N69" s="1"/>
      <c r="O69" s="1"/>
      <c r="P69" s="24"/>
      <c r="Q69" s="1"/>
      <c r="R69" s="1"/>
      <c r="S69" s="1"/>
      <c r="T69" s="12"/>
      <c r="U69" s="17"/>
      <c r="V69" s="1"/>
      <c r="W69" s="1"/>
      <c r="X69" s="1"/>
      <c r="Y69" s="1"/>
      <c r="Z69" s="1"/>
      <c r="AA69" s="1"/>
      <c r="AB69" s="7"/>
      <c r="AC69" s="1"/>
      <c r="AD69" s="1"/>
      <c r="AE69" s="1"/>
      <c r="AF69" s="1"/>
      <c r="AG69" s="24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7"/>
      <c r="AS69" s="8" t="str">
        <f>'D10'!U69</f>
        <v>10-23-熱煙或毒性氣體未危害至儲能空間以外</v>
      </c>
      <c r="AT69" s="10" t="s">
        <v>77</v>
      </c>
    </row>
    <row r="70" ht="6.0" customHeight="1">
      <c r="A70" s="11"/>
      <c r="B70" s="21"/>
      <c r="C70" s="7"/>
      <c r="D70" s="1"/>
      <c r="E70" s="1"/>
      <c r="F70" s="1"/>
      <c r="G70" s="24"/>
      <c r="H70" s="29"/>
      <c r="I70" s="12"/>
      <c r="J70" s="45"/>
      <c r="K70" s="1"/>
      <c r="L70" s="1"/>
      <c r="M70" s="1"/>
      <c r="N70" s="1"/>
      <c r="O70" s="1"/>
      <c r="P70" s="24"/>
      <c r="Q70" s="64" t="str">
        <f>FTA!Q17</f>
        <v>F2-a2(t)</v>
      </c>
      <c r="R70" s="67" t="s">
        <v>78</v>
      </c>
      <c r="S70" s="17"/>
      <c r="T70" s="12"/>
      <c r="U70" s="45"/>
      <c r="V70" s="1"/>
      <c r="W70" s="1"/>
      <c r="X70" s="1"/>
      <c r="Y70" s="1"/>
      <c r="Z70" s="1"/>
      <c r="AA70" s="1"/>
      <c r="AB70" s="7"/>
      <c r="AC70" s="1"/>
      <c r="AD70" s="1"/>
      <c r="AE70" s="1"/>
      <c r="AF70" s="1"/>
      <c r="AG70" s="2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7"/>
      <c r="AS70" s="13" t="str">
        <f>'D10'!U70</f>
        <v>R069=45.3% ~ 50.1%</v>
      </c>
      <c r="AT70" s="10" t="str">
        <f>'D10'!V70</f>
        <v>P(34)=0.006%</v>
      </c>
    </row>
    <row r="71" ht="6.0" customHeight="1">
      <c r="A71" s="38"/>
      <c r="B71" s="37"/>
      <c r="C71" s="1"/>
      <c r="D71" s="1"/>
      <c r="E71" s="1"/>
      <c r="F71" s="1"/>
      <c r="G71" s="24"/>
      <c r="H71" s="1"/>
      <c r="I71" s="12"/>
      <c r="J71" s="1"/>
      <c r="K71" s="1"/>
      <c r="L71" s="1"/>
      <c r="M71" s="1"/>
      <c r="N71" s="1"/>
      <c r="O71" s="1"/>
      <c r="P71" s="24"/>
      <c r="Q71" s="12"/>
      <c r="R71" s="12"/>
      <c r="S71" s="22"/>
      <c r="T71" s="21"/>
      <c r="U71" s="1"/>
      <c r="V71" s="1"/>
      <c r="W71" s="1"/>
      <c r="X71" s="1"/>
      <c r="Y71" s="1"/>
      <c r="Z71" s="1"/>
      <c r="AA71" s="1"/>
      <c r="AB71" s="7"/>
      <c r="AC71" s="1"/>
      <c r="AD71" s="1"/>
      <c r="AE71" s="1"/>
      <c r="AF71" s="1"/>
      <c r="AG71" s="24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30" t="str">
        <f>'D10'!T71</f>
        <v>9-12-消防系統無法發揮冷卻作用</v>
      </c>
      <c r="AS71" s="26"/>
      <c r="AT71" s="1"/>
    </row>
    <row r="72" ht="6.0" customHeight="1">
      <c r="A72" s="5" t="s">
        <v>79</v>
      </c>
      <c r="B72" s="6" t="s">
        <v>80</v>
      </c>
      <c r="C72" s="7"/>
      <c r="D72" s="1"/>
      <c r="E72" s="1"/>
      <c r="F72" s="1"/>
      <c r="G72" s="24"/>
      <c r="H72" s="1"/>
      <c r="I72" s="21"/>
      <c r="J72" s="1"/>
      <c r="K72" s="1"/>
      <c r="L72" s="1"/>
      <c r="M72" s="1"/>
      <c r="N72" s="1"/>
      <c r="O72" s="1"/>
      <c r="P72" s="24"/>
      <c r="Q72" s="66">
        <f>FTA!Q19</f>
        <v>0.14</v>
      </c>
      <c r="R72" s="12"/>
      <c r="S72" s="7"/>
      <c r="T72" s="1"/>
      <c r="U72" s="1"/>
      <c r="V72" s="1"/>
      <c r="W72" s="1"/>
      <c r="X72" s="1"/>
      <c r="Y72" s="1"/>
      <c r="Z72" s="1"/>
      <c r="AA72" s="1"/>
      <c r="AB72" s="7"/>
      <c r="AC72" s="1"/>
      <c r="AD72" s="1"/>
      <c r="AE72" s="1"/>
      <c r="AF72" s="1"/>
      <c r="AG72" s="24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32" t="str">
        <f>'D10'!T72</f>
        <v>R068=40.6% ~ 46.3%</v>
      </c>
      <c r="AS72" s="30" t="str">
        <f>'D10'!U72</f>
        <v>10-24-熱煙或毒性氣體危害至儲能空間以外</v>
      </c>
      <c r="AT72" s="10" t="s">
        <v>81</v>
      </c>
    </row>
    <row r="73" ht="6.0" customHeight="1">
      <c r="A73" s="11"/>
      <c r="B73" s="12"/>
      <c r="C73" s="7"/>
      <c r="D73" s="1"/>
      <c r="E73" s="1"/>
      <c r="F73" s="37"/>
      <c r="G73" s="39"/>
      <c r="H73" s="1"/>
      <c r="I73" s="1"/>
      <c r="J73" s="1"/>
      <c r="K73" s="1"/>
      <c r="L73" s="1"/>
      <c r="M73" s="1"/>
      <c r="N73" s="1"/>
      <c r="O73" s="1"/>
      <c r="P73" s="24"/>
      <c r="Q73" s="12"/>
      <c r="R73" s="21"/>
      <c r="S73" s="1"/>
      <c r="T73" s="1"/>
      <c r="U73" s="1"/>
      <c r="V73" s="1"/>
      <c r="W73" s="1"/>
      <c r="X73" s="1"/>
      <c r="Y73" s="1"/>
      <c r="Z73" s="1"/>
      <c r="AA73" s="1"/>
      <c r="AB73" s="7"/>
      <c r="AC73" s="1"/>
      <c r="AD73" s="1"/>
      <c r="AE73" s="1"/>
      <c r="AF73" s="1"/>
      <c r="AG73" s="24"/>
      <c r="AH73" s="1"/>
      <c r="AI73" s="1"/>
      <c r="AJ73" s="8" t="str">
        <f>'D10'!L73</f>
        <v>5-7-未發生電芯熱失控傳播現象</v>
      </c>
      <c r="AK73" s="9"/>
      <c r="AL73" s="10" t="s">
        <v>82</v>
      </c>
      <c r="AM73" s="1"/>
      <c r="AN73" s="1"/>
      <c r="AO73" s="1"/>
      <c r="AP73" s="1"/>
      <c r="AQ73" s="1"/>
      <c r="AR73" s="1"/>
      <c r="AS73" s="32" t="str">
        <f>'D10'!U73</f>
        <v>R070=49.9% ~ 54.7%</v>
      </c>
      <c r="AT73" s="10" t="str">
        <f>'D10'!V73</f>
        <v>P(35)=0.007%</v>
      </c>
    </row>
    <row r="74" ht="6.0" customHeight="1">
      <c r="A74" s="16">
        <v>0.147</v>
      </c>
      <c r="B74" s="12"/>
      <c r="C74" s="17"/>
      <c r="D74" s="18" t="s">
        <v>4</v>
      </c>
      <c r="E74" s="19" t="str">
        <f>FTA!E74</f>
        <v>F1-d2(t)</v>
      </c>
      <c r="F74" s="6" t="s">
        <v>83</v>
      </c>
      <c r="G74" s="41"/>
      <c r="H74" s="1"/>
      <c r="I74" s="1"/>
      <c r="J74" s="1"/>
      <c r="K74" s="1"/>
      <c r="L74" s="1"/>
      <c r="M74" s="1"/>
      <c r="N74" s="1"/>
      <c r="O74" s="1"/>
      <c r="P74" s="2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7"/>
      <c r="AC74" s="1"/>
      <c r="AD74" s="1"/>
      <c r="AE74" s="1"/>
      <c r="AF74" s="1"/>
      <c r="AG74" s="24"/>
      <c r="AH74" s="1"/>
      <c r="AI74" s="1"/>
      <c r="AJ74" s="13" t="str">
        <f>'D10'!L74</f>
        <v>R072=61.1% ~ 67.5%</v>
      </c>
      <c r="AK74" s="15"/>
      <c r="AL74" s="10" t="str">
        <f>'D10'!N74</f>
        <v>P(36)=6.834%</v>
      </c>
      <c r="AM74" s="1"/>
      <c r="AN74" s="1"/>
      <c r="AO74" s="1"/>
      <c r="AP74" s="1"/>
      <c r="AQ74" s="1"/>
      <c r="AR74" s="1"/>
      <c r="AS74" s="1"/>
      <c r="AT74" s="1"/>
    </row>
    <row r="75" ht="6.0" customHeight="1">
      <c r="A75" s="11"/>
      <c r="B75" s="21"/>
      <c r="C75" s="22"/>
      <c r="D75" s="12"/>
      <c r="E75" s="23"/>
      <c r="F75" s="12"/>
      <c r="G75" s="17"/>
      <c r="H75" s="1"/>
      <c r="I75" s="1"/>
      <c r="J75" s="1"/>
      <c r="K75" s="1"/>
      <c r="L75" s="1"/>
      <c r="M75" s="1"/>
      <c r="N75" s="1"/>
      <c r="O75" s="1"/>
      <c r="P75" s="24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7"/>
      <c r="AC75" s="1"/>
      <c r="AD75" s="1"/>
      <c r="AE75" s="1"/>
      <c r="AF75" s="1"/>
      <c r="AG75" s="24"/>
      <c r="AH75" s="1"/>
      <c r="AI75" s="1"/>
      <c r="AJ75" s="7"/>
      <c r="AK75" s="1"/>
      <c r="AL75" s="8" t="str">
        <f>'D10'!N75</f>
        <v>6-7-未發生模組熱失控傳播現象</v>
      </c>
      <c r="AM75" s="9"/>
      <c r="AN75" s="10" t="s">
        <v>84</v>
      </c>
      <c r="AO75" s="1"/>
      <c r="AP75" s="1"/>
      <c r="AQ75" s="1"/>
      <c r="AR75" s="1"/>
      <c r="AS75" s="8" t="str">
        <f>'D10'!U75</f>
        <v>10-25-熱煙或毒性氣體未危害至儲能空間以外</v>
      </c>
      <c r="AT75" s="10" t="s">
        <v>85</v>
      </c>
    </row>
    <row r="76" ht="6.0" customHeight="1">
      <c r="A76" s="1"/>
      <c r="B76" s="1"/>
      <c r="C76" s="1"/>
      <c r="D76" s="12"/>
      <c r="E76" s="28">
        <f>FTA!E76</f>
        <v>0.01704</v>
      </c>
      <c r="F76" s="12"/>
      <c r="G76" s="1"/>
      <c r="H76" s="1"/>
      <c r="I76" s="1"/>
      <c r="J76" s="1"/>
      <c r="K76" s="1"/>
      <c r="L76" s="1"/>
      <c r="M76" s="1"/>
      <c r="N76" s="1"/>
      <c r="O76" s="1"/>
      <c r="P76" s="24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7"/>
      <c r="AC76" s="1"/>
      <c r="AD76" s="1"/>
      <c r="AE76" s="1"/>
      <c r="AF76" s="1"/>
      <c r="AG76" s="24"/>
      <c r="AH76" s="43" t="str">
        <f>'D10'!J76</f>
        <v>4-4-通風排出裝置未啟動</v>
      </c>
      <c r="AI76" s="20"/>
      <c r="AJ76" s="7"/>
      <c r="AK76" s="1"/>
      <c r="AL76" s="13" t="str">
        <f>'D10'!N76</f>
        <v>R074=70.0% ~ 77.3%</v>
      </c>
      <c r="AM76" s="15"/>
      <c r="AN76" s="10" t="str">
        <f>'D10'!P76</f>
        <v>P(37)=2.863%</v>
      </c>
      <c r="AO76" s="1"/>
      <c r="AP76" s="1"/>
      <c r="AQ76" s="1"/>
      <c r="AR76" s="8" t="str">
        <f>'D10'!T76</f>
        <v>9-13-消防系統有效發揮冷卻作用</v>
      </c>
      <c r="AS76" s="13" t="str">
        <f>'D10'!U76</f>
        <v>R080=56.6% ~ 62.6%</v>
      </c>
      <c r="AT76" s="10" t="str">
        <f>'D10'!V76</f>
        <v>P(39)=0.025%</v>
      </c>
    </row>
    <row r="77" ht="6.0" customHeight="1">
      <c r="A77" s="5" t="s">
        <v>86</v>
      </c>
      <c r="B77" s="6" t="s">
        <v>87</v>
      </c>
      <c r="C77" s="17"/>
      <c r="D77" s="12"/>
      <c r="E77" s="11"/>
      <c r="F77" s="21"/>
      <c r="G77" s="1"/>
      <c r="H77" s="1"/>
      <c r="I77" s="1"/>
      <c r="J77" s="1"/>
      <c r="K77" s="1"/>
      <c r="L77" s="1"/>
      <c r="M77" s="1"/>
      <c r="N77" s="1"/>
      <c r="O77" s="1"/>
      <c r="P77" s="24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7"/>
      <c r="AC77" s="1"/>
      <c r="AD77" s="1"/>
      <c r="AE77" s="1"/>
      <c r="AF77" s="1"/>
      <c r="AG77" s="1"/>
      <c r="AH77" s="32" t="str">
        <f>'D10'!J77</f>
        <v>R071=78.3% ~ 80.3%</v>
      </c>
      <c r="AI77" s="14"/>
      <c r="AJ77" s="1"/>
      <c r="AK77" s="1"/>
      <c r="AL77" s="7"/>
      <c r="AM77" s="1"/>
      <c r="AN77" s="8" t="str">
        <f>'D10'!P77</f>
        <v>7-7-未發生電池櫃熱失控傳播現象</v>
      </c>
      <c r="AO77" s="9"/>
      <c r="AP77" s="10" t="s">
        <v>88</v>
      </c>
      <c r="AQ77" s="1"/>
      <c r="AR77" s="13" t="str">
        <f>'D10'!T77</f>
        <v>R079=63.2% ~ 69.9%</v>
      </c>
      <c r="AS77" s="26"/>
      <c r="AT77" s="1"/>
    </row>
    <row r="78" ht="6.0" customHeight="1">
      <c r="A78" s="11"/>
      <c r="B78" s="12"/>
      <c r="C78" s="22"/>
      <c r="D78" s="2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7"/>
      <c r="AC78" s="1"/>
      <c r="AD78" s="1"/>
      <c r="AE78" s="1"/>
      <c r="AF78" s="1"/>
      <c r="AG78" s="1"/>
      <c r="AH78" s="1"/>
      <c r="AI78" s="24"/>
      <c r="AJ78" s="30" t="str">
        <f>'D10'!L78</f>
        <v>5-8-發生電芯熱失控傳播現象</v>
      </c>
      <c r="AK78" s="20"/>
      <c r="AL78" s="7"/>
      <c r="AM78" s="1"/>
      <c r="AN78" s="13" t="str">
        <f>'D10'!P78</f>
        <v>R076=73.1% ~ 80.8%</v>
      </c>
      <c r="AO78" s="15"/>
      <c r="AP78" s="10" t="str">
        <f>'D10'!R78</f>
        <v>P(38)=0.792%</v>
      </c>
      <c r="AQ78" s="24"/>
      <c r="AR78" s="1"/>
      <c r="AS78" s="30" t="str">
        <f>'D10'!U78</f>
        <v>10-26-熱煙或毒性氣體危害至儲能空間以外</v>
      </c>
      <c r="AT78" s="10" t="s">
        <v>89</v>
      </c>
    </row>
    <row r="79" ht="6.0" customHeight="1">
      <c r="A79" s="16">
        <v>0.132</v>
      </c>
      <c r="B79" s="12"/>
      <c r="C79" s="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7"/>
      <c r="AC79" s="1"/>
      <c r="AD79" s="1"/>
      <c r="AE79" s="1"/>
      <c r="AF79" s="1"/>
      <c r="AG79" s="1"/>
      <c r="AH79" s="1"/>
      <c r="AI79" s="1"/>
      <c r="AJ79" s="32" t="str">
        <f>'D10'!L79</f>
        <v>R073=32.5% ~ 38.9%</v>
      </c>
      <c r="AK79" s="14"/>
      <c r="AL79" s="1"/>
      <c r="AM79" s="1"/>
      <c r="AN79" s="7"/>
      <c r="AO79" s="1"/>
      <c r="AP79" s="8" t="str">
        <f>'D10'!R79</f>
        <v>8-7-可燃氣體濃度未達到LFL</v>
      </c>
      <c r="AQ79" s="20"/>
      <c r="AR79" s="7"/>
      <c r="AS79" s="32" t="str">
        <f>'D10'!U79</f>
        <v>R081=37.4% ~ 43.4%</v>
      </c>
      <c r="AT79" s="10" t="str">
        <f>'D10'!V79</f>
        <v>P(40)=0.017%</v>
      </c>
    </row>
    <row r="80" ht="6.0" customHeight="1">
      <c r="A80" s="11"/>
      <c r="B80" s="21"/>
      <c r="C80" s="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7"/>
      <c r="AC80" s="1"/>
      <c r="AD80" s="1"/>
      <c r="AE80" s="1"/>
      <c r="AF80" s="1"/>
      <c r="AG80" s="1"/>
      <c r="AH80" s="1"/>
      <c r="AI80" s="1"/>
      <c r="AJ80" s="1"/>
      <c r="AK80" s="24"/>
      <c r="AL80" s="1"/>
      <c r="AM80" s="1"/>
      <c r="AN80" s="7"/>
      <c r="AO80" s="1"/>
      <c r="AP80" s="13" t="str">
        <f>'D10'!R80</f>
        <v>R078=24.6% ~ 27.2%</v>
      </c>
      <c r="AQ80" s="14"/>
      <c r="AR80" s="7"/>
      <c r="AS80" s="1"/>
      <c r="AT80" s="1"/>
    </row>
    <row r="81" ht="6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7"/>
      <c r="AC81" s="1"/>
      <c r="AD81" s="1"/>
      <c r="AE81" s="1"/>
      <c r="AF81" s="1"/>
      <c r="AG81" s="1"/>
      <c r="AH81" s="1"/>
      <c r="AI81" s="1"/>
      <c r="AJ81" s="1"/>
      <c r="AK81" s="1"/>
      <c r="AL81" s="30" t="str">
        <f>'D10'!N81</f>
        <v>6-8-發生模組熱失控傳播現象</v>
      </c>
      <c r="AM81" s="20"/>
      <c r="AN81" s="7"/>
      <c r="AO81" s="1"/>
      <c r="AP81" s="7"/>
      <c r="AQ81" s="1"/>
      <c r="AR81" s="7"/>
      <c r="AS81" s="8" t="str">
        <f>'D10'!U81</f>
        <v>10-27-熱煙或毒性氣體未危害至儲能空間以外</v>
      </c>
      <c r="AT81" s="10" t="s">
        <v>90</v>
      </c>
    </row>
    <row r="82" ht="6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7"/>
      <c r="AC82" s="1"/>
      <c r="AD82" s="1"/>
      <c r="AE82" s="1"/>
      <c r="AF82" s="1"/>
      <c r="AG82" s="1"/>
      <c r="AH82" s="1"/>
      <c r="AI82" s="1"/>
      <c r="AJ82" s="1"/>
      <c r="AK82" s="1"/>
      <c r="AL82" s="32" t="str">
        <f>'D10'!N82</f>
        <v>R075=22.7% ~ 30.0%</v>
      </c>
      <c r="AM82" s="14"/>
      <c r="AN82" s="7"/>
      <c r="AO82" s="1"/>
      <c r="AP82" s="7"/>
      <c r="AQ82" s="1"/>
      <c r="AR82" s="7"/>
      <c r="AS82" s="13" t="str">
        <f>'D10'!U82</f>
        <v>R083=45.3% ~ 50.1%</v>
      </c>
      <c r="AT82" s="10" t="str">
        <f>'D10'!V82</f>
        <v>P(41)=0.010%</v>
      </c>
    </row>
    <row r="83" ht="6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4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7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7"/>
      <c r="AO83" s="1"/>
      <c r="AP83" s="7"/>
      <c r="AQ83" s="1"/>
      <c r="AR83" s="30" t="str">
        <f>'D10'!T83</f>
        <v>9-14-消防系統無法發揮冷卻作用</v>
      </c>
      <c r="AS83" s="26"/>
      <c r="AT83" s="1"/>
    </row>
    <row r="84" ht="6.0" customHeight="1">
      <c r="A84" s="1"/>
      <c r="B84" s="1"/>
      <c r="C84" s="1"/>
      <c r="D84" s="1"/>
      <c r="E84" s="47" t="str">
        <f>FTA!E84</f>
        <v>F1-e1(t)</v>
      </c>
      <c r="F84" s="48" t="s">
        <v>91</v>
      </c>
      <c r="G84" s="1"/>
      <c r="H84" s="1"/>
      <c r="I84" s="1"/>
      <c r="J84" s="1"/>
      <c r="K84" s="1"/>
      <c r="L84" s="1"/>
      <c r="M84" s="1"/>
      <c r="N84" s="1"/>
      <c r="O84" s="1"/>
      <c r="P84" s="2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7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7"/>
      <c r="AO84" s="1"/>
      <c r="AP84" s="7"/>
      <c r="AQ84" s="1"/>
      <c r="AR84" s="32" t="str">
        <f>'D10'!T84</f>
        <v>R082=30.1% ~ 36.8%</v>
      </c>
      <c r="AS84" s="30" t="str">
        <f>'D10'!U84</f>
        <v>10-28-熱煙或毒性氣體危害至儲能空間以外</v>
      </c>
      <c r="AT84" s="10" t="s">
        <v>92</v>
      </c>
    </row>
    <row r="85" ht="6.0" customHeight="1">
      <c r="A85" s="1"/>
      <c r="B85" s="1"/>
      <c r="C85" s="1"/>
      <c r="D85" s="1"/>
      <c r="F85" s="12"/>
      <c r="G85" s="1"/>
      <c r="H85" s="1"/>
      <c r="I85" s="1"/>
      <c r="J85" s="1"/>
      <c r="K85" s="1"/>
      <c r="L85" s="1"/>
      <c r="M85" s="1"/>
      <c r="N85" s="1"/>
      <c r="O85" s="1"/>
      <c r="P85" s="24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7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30" t="str">
        <f>'D10'!P85</f>
        <v>7-8-發生電池櫃熱失控傳播現象</v>
      </c>
      <c r="AO85" s="20"/>
      <c r="AP85" s="7"/>
      <c r="AQ85" s="1"/>
      <c r="AR85" s="1"/>
      <c r="AS85" s="32" t="str">
        <f>'D10'!U85</f>
        <v>R084=49.9% ~ 54.7%</v>
      </c>
      <c r="AT85" s="10" t="str">
        <f>'D10'!V85</f>
        <v>P(42)=0.011%</v>
      </c>
    </row>
    <row r="86" ht="6.0" customHeight="1">
      <c r="A86" s="1"/>
      <c r="B86" s="1"/>
      <c r="C86" s="1"/>
      <c r="D86" s="1"/>
      <c r="E86" s="68">
        <f>FTA!E86</f>
        <v>0.125</v>
      </c>
      <c r="F86" s="12"/>
      <c r="G86" s="29"/>
      <c r="H86" s="1"/>
      <c r="I86" s="1"/>
      <c r="J86" s="1"/>
      <c r="K86" s="1"/>
      <c r="L86" s="1"/>
      <c r="M86" s="1"/>
      <c r="N86" s="1"/>
      <c r="O86" s="1"/>
      <c r="P86" s="24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7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32" t="str">
        <f>'D10'!P86</f>
        <v>R077=19.2% ~ 26.9%</v>
      </c>
      <c r="AO86" s="14"/>
      <c r="AP86" s="7"/>
      <c r="AQ86" s="1"/>
      <c r="AR86" s="1"/>
      <c r="AS86" s="1"/>
      <c r="AT86" s="1"/>
    </row>
    <row r="87" ht="6.0" customHeight="1">
      <c r="A87" s="1"/>
      <c r="B87" s="1"/>
      <c r="C87" s="1"/>
      <c r="D87" s="1"/>
      <c r="F87" s="21"/>
      <c r="G87" s="24"/>
      <c r="H87" s="1"/>
      <c r="I87" s="1"/>
      <c r="J87" s="1"/>
      <c r="K87" s="1"/>
      <c r="L87" s="1"/>
      <c r="M87" s="1"/>
      <c r="N87" s="1"/>
      <c r="O87" s="1"/>
      <c r="P87" s="24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7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7"/>
      <c r="AQ87" s="1"/>
      <c r="AR87" s="1"/>
      <c r="AS87" s="8" t="str">
        <f>'D10'!U87</f>
        <v>10-29-熱煙或毒性氣體未危害至儲能空間以外</v>
      </c>
      <c r="AT87" s="10" t="s">
        <v>93</v>
      </c>
    </row>
    <row r="88" ht="6.0" customHeight="1">
      <c r="A88" s="1"/>
      <c r="B88" s="1"/>
      <c r="C88" s="1"/>
      <c r="D88" s="1"/>
      <c r="E88" s="1"/>
      <c r="F88" s="1"/>
      <c r="G88" s="24"/>
      <c r="H88" s="1"/>
      <c r="I88" s="22" t="s">
        <v>4</v>
      </c>
      <c r="J88" s="1"/>
      <c r="K88" s="1"/>
      <c r="L88" s="1"/>
      <c r="M88" s="1"/>
      <c r="N88" s="1"/>
      <c r="O88" s="1"/>
      <c r="P88" s="24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7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7"/>
      <c r="AQ88" s="1"/>
      <c r="AR88" s="8" t="str">
        <f>'D10'!T88</f>
        <v>9-15-消防系統有效發揮冷卻作用</v>
      </c>
      <c r="AS88" s="13" t="str">
        <f>'D10'!U88</f>
        <v>R087=56.6% ~ 62.6%</v>
      </c>
      <c r="AT88" s="10" t="str">
        <f>'D10'!V88</f>
        <v>P(43)=0.060%</v>
      </c>
    </row>
    <row r="89" ht="6.0" customHeight="1">
      <c r="A89" s="1"/>
      <c r="B89" s="1"/>
      <c r="C89" s="1"/>
      <c r="D89" s="1"/>
      <c r="E89" s="1"/>
      <c r="F89" s="1"/>
      <c r="G89" s="24"/>
      <c r="H89" s="33"/>
      <c r="I89" s="12"/>
      <c r="J89" s="1"/>
      <c r="K89" s="44"/>
      <c r="L89" s="44"/>
      <c r="M89" s="44"/>
      <c r="N89" s="44"/>
      <c r="O89" s="44"/>
      <c r="P89" s="33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7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7"/>
      <c r="AQ89" s="1"/>
      <c r="AR89" s="13" t="str">
        <f>'D10'!T89</f>
        <v>R086=53.7% ~ 59.4%</v>
      </c>
      <c r="AS89" s="26"/>
      <c r="AT89" s="1"/>
    </row>
    <row r="90" ht="6.0" customHeight="1">
      <c r="A90" s="1"/>
      <c r="B90" s="1"/>
      <c r="C90" s="1"/>
      <c r="D90" s="1"/>
      <c r="E90" s="1"/>
      <c r="F90" s="1"/>
      <c r="G90" s="24"/>
      <c r="H90" s="29"/>
      <c r="I90" s="12"/>
      <c r="J90" s="4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7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7"/>
      <c r="AQ90" s="24"/>
      <c r="AR90" s="1"/>
      <c r="AS90" s="30" t="str">
        <f>'D10'!U90</f>
        <v>10-30-熱煙或毒性氣體危害至儲能空間以外</v>
      </c>
      <c r="AT90" s="10" t="s">
        <v>94</v>
      </c>
    </row>
    <row r="91" ht="6.0" customHeight="1">
      <c r="A91" s="1"/>
      <c r="B91" s="1"/>
      <c r="C91" s="1"/>
      <c r="D91" s="1"/>
      <c r="E91" s="47" t="str">
        <f>FTA!E91</f>
        <v>F1-e2(t)</v>
      </c>
      <c r="F91" s="48" t="s">
        <v>95</v>
      </c>
      <c r="G91" s="24"/>
      <c r="H91" s="1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7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30" t="str">
        <f>'D10'!R91</f>
        <v>8-8-可燃氣體濃度達到LFL</v>
      </c>
      <c r="AQ91" s="20"/>
      <c r="AR91" s="7"/>
      <c r="AS91" s="32" t="str">
        <f>'D10'!U91</f>
        <v>R088=37.4% ~ 43.4%</v>
      </c>
      <c r="AT91" s="10" t="str">
        <f>'D10'!V91</f>
        <v>P(44)=0.041%</v>
      </c>
    </row>
    <row r="92" ht="6.0" customHeight="1">
      <c r="A92" s="1"/>
      <c r="B92" s="1"/>
      <c r="C92" s="1"/>
      <c r="D92" s="1"/>
      <c r="F92" s="12"/>
      <c r="G92" s="33"/>
      <c r="H92" s="1"/>
      <c r="I92" s="2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7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32" t="str">
        <f>'D10'!R92</f>
        <v>R085=72.8% ~ 75.4%</v>
      </c>
      <c r="AQ92" s="14"/>
      <c r="AR92" s="7"/>
      <c r="AS92" s="1"/>
      <c r="AT92" s="1"/>
    </row>
    <row r="93" ht="6.0" customHeight="1">
      <c r="A93" s="1"/>
      <c r="B93" s="1"/>
      <c r="C93" s="1"/>
      <c r="D93" s="1"/>
      <c r="E93" s="68">
        <f>FTA!E93</f>
        <v>0.104</v>
      </c>
      <c r="F93" s="1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7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7"/>
      <c r="AS93" s="8" t="str">
        <f>'D10'!U93</f>
        <v>10-31-熱煙或毒性氣體未危害至儲能空間以外</v>
      </c>
      <c r="AT93" s="10" t="s">
        <v>96</v>
      </c>
    </row>
    <row r="94" ht="6.0" customHeight="1">
      <c r="A94" s="1"/>
      <c r="B94" s="1"/>
      <c r="C94" s="1"/>
      <c r="D94" s="1"/>
      <c r="F94" s="2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7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7"/>
      <c r="AS94" s="13" t="str">
        <f>'D10'!U94</f>
        <v>R090=45.3% ~ 50.1%</v>
      </c>
      <c r="AT94" s="10" t="str">
        <f>'D10'!V94</f>
        <v>P(45)=0.037%</v>
      </c>
    </row>
    <row r="95" ht="6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7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30" t="str">
        <f>'D10'!T95</f>
        <v>9-16-消防系統無法發揮冷卻作用</v>
      </c>
      <c r="AS95" s="26"/>
      <c r="AT95" s="1"/>
    </row>
    <row r="96" ht="6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7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32" t="str">
        <f>'D10'!T96</f>
        <v>R089=40.6% ~ 46.3%</v>
      </c>
      <c r="AS96" s="30" t="str">
        <f>'D10'!U96</f>
        <v>10-32-熱煙或毒性氣體危害至儲能空間以外</v>
      </c>
      <c r="AT96" s="10" t="s">
        <v>97</v>
      </c>
    </row>
    <row r="97" ht="6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7"/>
      <c r="AC97" s="1"/>
      <c r="AD97" s="1"/>
      <c r="AE97" s="1"/>
      <c r="AF97" s="8" t="str">
        <f>'D10'!H97</f>
        <v>3-5-電芯未發生熱失控</v>
      </c>
      <c r="AG97" s="9"/>
      <c r="AH97" s="10" t="s">
        <v>98</v>
      </c>
      <c r="AI97" s="1"/>
      <c r="AJ97" s="8" t="str">
        <f>'D10'!L97</f>
        <v>5-9-未發生電芯熱失控傳播現象</v>
      </c>
      <c r="AK97" s="9"/>
      <c r="AL97" s="10" t="s">
        <v>99</v>
      </c>
      <c r="AM97" s="1"/>
      <c r="AN97" s="1"/>
      <c r="AO97" s="1"/>
      <c r="AP97" s="1"/>
      <c r="AQ97" s="1"/>
      <c r="AR97" s="1"/>
      <c r="AS97" s="32" t="str">
        <f>'D10'!U97</f>
        <v>R091=49.9% ~ 54.7%</v>
      </c>
      <c r="AT97" s="10" t="str">
        <f>'D10'!V97</f>
        <v>P(46)=0.041%</v>
      </c>
    </row>
    <row r="98" ht="6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7"/>
      <c r="AC98" s="1"/>
      <c r="AD98" s="1"/>
      <c r="AE98" s="1"/>
      <c r="AF98" s="13" t="str">
        <f>'D10'!H98</f>
        <v>R094=75.2% ~ 83.2%</v>
      </c>
      <c r="AG98" s="15"/>
      <c r="AH98" s="10" t="str">
        <f>'D10'!J98</f>
        <v>P(47)=10.455%</v>
      </c>
      <c r="AI98" s="1"/>
      <c r="AJ98" s="13" t="str">
        <f>'D10'!L98</f>
        <v>R097=61.1% ~ 67.5%</v>
      </c>
      <c r="AK98" s="15"/>
      <c r="AL98" s="10" t="str">
        <f>'D10'!N98</f>
        <v>P(48)=0.474%</v>
      </c>
      <c r="AM98" s="1"/>
      <c r="AN98" s="1"/>
      <c r="AO98" s="1"/>
      <c r="AP98" s="1"/>
      <c r="AQ98" s="1"/>
      <c r="AR98" s="1"/>
      <c r="AS98" s="1"/>
      <c r="AT98" s="1"/>
    </row>
    <row r="99" ht="6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7"/>
      <c r="AC99" s="1"/>
      <c r="AD99" s="1"/>
      <c r="AE99" s="1"/>
      <c r="AF99" s="7"/>
      <c r="AG99" s="1"/>
      <c r="AH99" s="8" t="str">
        <f>'D10'!J99</f>
        <v>4-5-通風排出裝置啟動</v>
      </c>
      <c r="AI99" s="20"/>
      <c r="AJ99" s="7"/>
      <c r="AK99" s="1"/>
      <c r="AL99" s="8" t="str">
        <f>'D10'!N99</f>
        <v>6-9-未發生模組熱失控傳播現象</v>
      </c>
      <c r="AM99" s="9"/>
      <c r="AN99" s="10" t="s">
        <v>100</v>
      </c>
      <c r="AO99" s="1"/>
      <c r="AP99" s="1"/>
      <c r="AQ99" s="1"/>
      <c r="AR99" s="1"/>
      <c r="AS99" s="8" t="str">
        <f>'D10'!U99</f>
        <v>10-33-熱煙或毒性氣體未危害至儲能空間以外</v>
      </c>
      <c r="AT99" s="10" t="s">
        <v>101</v>
      </c>
    </row>
    <row r="100" ht="6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7"/>
      <c r="AC100" s="1"/>
      <c r="AD100" s="1"/>
      <c r="AE100" s="1"/>
      <c r="AF100" s="7"/>
      <c r="AG100" s="24"/>
      <c r="AH100" s="25" t="str">
        <f>'D10'!J100</f>
        <v>R096=25.0% ~ 27.6%</v>
      </c>
      <c r="AI100" s="14"/>
      <c r="AJ100" s="7"/>
      <c r="AK100" s="1"/>
      <c r="AL100" s="13" t="str">
        <f>'D10'!N100</f>
        <v>R099=70.0% ~ 77.3%</v>
      </c>
      <c r="AM100" s="15"/>
      <c r="AN100" s="10" t="str">
        <f>'D10'!P100</f>
        <v>P(49)=0.198%</v>
      </c>
      <c r="AO100" s="1"/>
      <c r="AP100" s="1"/>
      <c r="AQ100" s="1"/>
      <c r="AR100" s="8" t="str">
        <f>'D10'!T100</f>
        <v>9-17-消防系統有效發揮冷卻作用</v>
      </c>
      <c r="AS100" s="13" t="str">
        <f>'D10'!U100</f>
        <v>R105=56.6% ~ 62.6%</v>
      </c>
      <c r="AT100" s="10" t="str">
        <f>'D10'!V100</f>
        <v>P(51)=0.003%</v>
      </c>
    </row>
    <row r="101" ht="6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7"/>
      <c r="AC101" s="1"/>
      <c r="AD101" s="1"/>
      <c r="AE101" s="1"/>
      <c r="AF101" s="7"/>
      <c r="AG101" s="24"/>
      <c r="AH101" s="1"/>
      <c r="AI101" s="24"/>
      <c r="AJ101" s="30" t="str">
        <f>'D10'!L101</f>
        <v>5-10-發生電芯熱失控傳播現象</v>
      </c>
      <c r="AK101" s="20"/>
      <c r="AL101" s="7"/>
      <c r="AM101" s="1"/>
      <c r="AN101" s="8" t="str">
        <f>'D10'!P101</f>
        <v>7-9-未發生電池櫃熱失控傳播現象</v>
      </c>
      <c r="AO101" s="9"/>
      <c r="AP101" s="10" t="s">
        <v>102</v>
      </c>
      <c r="AQ101" s="1"/>
      <c r="AR101" s="13" t="str">
        <f>'D10'!T101</f>
        <v>R104=63.2% ~ 69.9%</v>
      </c>
      <c r="AS101" s="26"/>
      <c r="AT101" s="1"/>
    </row>
    <row r="102" ht="6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7"/>
      <c r="AC102" s="1"/>
      <c r="AD102" s="1"/>
      <c r="AE102" s="1"/>
      <c r="AF102" s="7"/>
      <c r="AG102" s="24"/>
      <c r="AH102" s="1"/>
      <c r="AI102" s="1"/>
      <c r="AJ102" s="32" t="str">
        <f>'D10'!L102</f>
        <v>R098=32.5% ~ 38.9%</v>
      </c>
      <c r="AK102" s="14"/>
      <c r="AL102" s="7"/>
      <c r="AM102" s="1"/>
      <c r="AN102" s="13" t="str">
        <f>'D10'!P102</f>
        <v>R101=73.1% ~ 80.8%</v>
      </c>
      <c r="AO102" s="15"/>
      <c r="AP102" s="10" t="str">
        <f>'D10'!R102</f>
        <v>P(50)=0.054%</v>
      </c>
      <c r="AQ102" s="24"/>
      <c r="AR102" s="1"/>
      <c r="AS102" s="30" t="str">
        <f>'D10'!U102</f>
        <v>10-34-熱煙或毒性氣體危害至儲能空間以外</v>
      </c>
      <c r="AT102" s="10" t="s">
        <v>103</v>
      </c>
    </row>
    <row r="103" ht="6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7"/>
      <c r="AC103" s="1"/>
      <c r="AD103" s="8" t="str">
        <f>'D10'!F103</f>
        <v>2-3-BESS緊急安全關斷</v>
      </c>
      <c r="AE103" s="20"/>
      <c r="AF103" s="7"/>
      <c r="AG103" s="24"/>
      <c r="AH103" s="1"/>
      <c r="AI103" s="1"/>
      <c r="AJ103" s="1"/>
      <c r="AK103" s="24"/>
      <c r="AL103" s="1"/>
      <c r="AM103" s="1"/>
      <c r="AN103" s="7"/>
      <c r="AO103" s="1"/>
      <c r="AP103" s="8" t="str">
        <f>'D10'!R103</f>
        <v>8-9-可燃氣體濃度未達到LFL</v>
      </c>
      <c r="AQ103" s="20"/>
      <c r="AR103" s="7"/>
      <c r="AS103" s="32" t="str">
        <f>'D10'!U103</f>
        <v>R106=37.4% ~ 43.4%</v>
      </c>
      <c r="AT103" s="10" t="str">
        <f>'D10'!V103</f>
        <v>P(52)=0.002%</v>
      </c>
    </row>
    <row r="104" ht="6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7"/>
      <c r="AC104" s="1"/>
      <c r="AD104" s="13" t="str">
        <f>'D10'!F104</f>
        <v>R093=34.0% ~ 37.6%</v>
      </c>
      <c r="AE104" s="14"/>
      <c r="AF104" s="7"/>
      <c r="AG104" s="24"/>
      <c r="AH104" s="31"/>
      <c r="AI104" s="1"/>
      <c r="AJ104" s="1"/>
      <c r="AK104" s="1"/>
      <c r="AL104" s="30" t="str">
        <f>'D10'!N104</f>
        <v>6-10-發生模組熱失控傳播現象</v>
      </c>
      <c r="AM104" s="20"/>
      <c r="AN104" s="7"/>
      <c r="AO104" s="1"/>
      <c r="AP104" s="13" t="str">
        <f>'D10'!R104</f>
        <v>R103=49.2% ~ 54.4%</v>
      </c>
      <c r="AQ104" s="14"/>
      <c r="AR104" s="7"/>
      <c r="AS104" s="1"/>
      <c r="AT104" s="1"/>
    </row>
    <row r="105" ht="6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7"/>
      <c r="AC105" s="1"/>
      <c r="AD105" s="7"/>
      <c r="AE105" s="24"/>
      <c r="AF105" s="7"/>
      <c r="AG105" s="24"/>
      <c r="AH105" s="31"/>
      <c r="AI105" s="1"/>
      <c r="AJ105" s="1"/>
      <c r="AK105" s="1"/>
      <c r="AL105" s="32" t="str">
        <f>'D10'!N105</f>
        <v>R100=22.7% ~ 30.0%</v>
      </c>
      <c r="AM105" s="14"/>
      <c r="AN105" s="7"/>
      <c r="AO105" s="1"/>
      <c r="AP105" s="7"/>
      <c r="AQ105" s="1"/>
      <c r="AR105" s="7"/>
      <c r="AS105" s="8" t="str">
        <f>'D10'!U105</f>
        <v>10-35-熱煙或毒性氣體未危害至儲能空間以外</v>
      </c>
      <c r="AT105" s="10" t="s">
        <v>104</v>
      </c>
    </row>
    <row r="106" ht="6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7"/>
      <c r="AC106" s="1"/>
      <c r="AD106" s="7"/>
      <c r="AE106" s="1"/>
      <c r="AF106" s="7"/>
      <c r="AG106" s="24"/>
      <c r="AH106" s="1"/>
      <c r="AI106" s="1"/>
      <c r="AJ106" s="1"/>
      <c r="AK106" s="1"/>
      <c r="AL106" s="1"/>
      <c r="AM106" s="1"/>
      <c r="AN106" s="7"/>
      <c r="AO106" s="1"/>
      <c r="AP106" s="7"/>
      <c r="AQ106" s="1"/>
      <c r="AR106" s="7"/>
      <c r="AS106" s="13" t="str">
        <f>'D10'!U106</f>
        <v>R108=45.3% ~ 50.1%</v>
      </c>
      <c r="AT106" s="10" t="str">
        <f>'D10'!V106</f>
        <v>P(53)=0.001%</v>
      </c>
    </row>
    <row r="107" ht="6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7"/>
      <c r="AC107" s="1"/>
      <c r="AD107" s="7"/>
      <c r="AE107" s="1"/>
      <c r="AF107" s="7"/>
      <c r="AG107" s="24"/>
      <c r="AH107" s="1"/>
      <c r="AI107" s="1"/>
      <c r="AJ107" s="1"/>
      <c r="AK107" s="1"/>
      <c r="AL107" s="1"/>
      <c r="AM107" s="24"/>
      <c r="AN107" s="1"/>
      <c r="AO107" s="1"/>
      <c r="AP107" s="7"/>
      <c r="AQ107" s="1"/>
      <c r="AR107" s="30" t="str">
        <f>'D10'!T107</f>
        <v>9-18-消防系統無法發揮冷卻作用</v>
      </c>
      <c r="AS107" s="26"/>
      <c r="AT107" s="1"/>
    </row>
    <row r="108" ht="6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7"/>
      <c r="AC108" s="1"/>
      <c r="AD108" s="40"/>
      <c r="AE108" s="1"/>
      <c r="AF108" s="7"/>
      <c r="AG108" s="24"/>
      <c r="AH108" s="1"/>
      <c r="AI108" s="1"/>
      <c r="AJ108" s="1"/>
      <c r="AK108" s="1"/>
      <c r="AL108" s="1"/>
      <c r="AM108" s="1"/>
      <c r="AN108" s="30" t="str">
        <f>'D10'!P108</f>
        <v>7-10-發生電池櫃熱失控傳播現象</v>
      </c>
      <c r="AO108" s="20"/>
      <c r="AP108" s="7"/>
      <c r="AQ108" s="1"/>
      <c r="AR108" s="32" t="str">
        <f>'D10'!T108</f>
        <v>R107=30.1% ~ 36.8%</v>
      </c>
      <c r="AS108" s="30" t="str">
        <f>'D10'!U108</f>
        <v>10-36-熱煙或毒性氣體危害至儲能空間以外</v>
      </c>
      <c r="AT108" s="10" t="s">
        <v>105</v>
      </c>
    </row>
    <row r="109" ht="6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7"/>
      <c r="AC109" s="1"/>
      <c r="AD109" s="40"/>
      <c r="AE109" s="1"/>
      <c r="AF109" s="7"/>
      <c r="AG109" s="24"/>
      <c r="AH109" s="1"/>
      <c r="AI109" s="1"/>
      <c r="AJ109" s="1"/>
      <c r="AK109" s="1"/>
      <c r="AL109" s="1"/>
      <c r="AM109" s="1"/>
      <c r="AN109" s="32" t="str">
        <f>'D10'!P109</f>
        <v>R102=19.2% ~ 26.9%</v>
      </c>
      <c r="AO109" s="14"/>
      <c r="AP109" s="7"/>
      <c r="AQ109" s="1"/>
      <c r="AR109" s="1"/>
      <c r="AS109" s="32" t="str">
        <f>'D10'!U109</f>
        <v>R109=49.9% ~ 54.7%</v>
      </c>
      <c r="AT109" s="10" t="str">
        <f>'D10'!V109</f>
        <v>P(54)=0.001%</v>
      </c>
    </row>
    <row r="110" ht="6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7"/>
      <c r="AC110" s="1"/>
      <c r="AD110" s="7"/>
      <c r="AE110" s="1"/>
      <c r="AF110" s="30" t="str">
        <f>'D10'!H110</f>
        <v>3-6-電芯發生熱失控</v>
      </c>
      <c r="AG110" s="20"/>
      <c r="AH110" s="1"/>
      <c r="AI110" s="1"/>
      <c r="AJ110" s="1"/>
      <c r="AK110" s="1"/>
      <c r="AL110" s="1"/>
      <c r="AM110" s="1"/>
      <c r="AN110" s="1"/>
      <c r="AO110" s="1"/>
      <c r="AP110" s="7"/>
      <c r="AQ110" s="1"/>
      <c r="AR110" s="1"/>
      <c r="AS110" s="1"/>
      <c r="AT110" s="1"/>
    </row>
    <row r="111" ht="6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7"/>
      <c r="AC111" s="1"/>
      <c r="AD111" s="7"/>
      <c r="AE111" s="1"/>
      <c r="AF111" s="32" t="str">
        <f>'D10'!H111</f>
        <v>R095=16.8% ~ 24.8%</v>
      </c>
      <c r="AG111" s="14"/>
      <c r="AH111" s="1"/>
      <c r="AI111" s="1"/>
      <c r="AJ111" s="1"/>
      <c r="AK111" s="1"/>
      <c r="AL111" s="1"/>
      <c r="AM111" s="1"/>
      <c r="AN111" s="1"/>
      <c r="AO111" s="1"/>
      <c r="AP111" s="7"/>
      <c r="AQ111" s="1"/>
      <c r="AR111" s="1"/>
      <c r="AS111" s="8" t="str">
        <f>'D10'!U111</f>
        <v>10-37-熱煙或毒性氣體未危害至儲能空間以外</v>
      </c>
      <c r="AT111" s="10" t="s">
        <v>106</v>
      </c>
    </row>
    <row r="112" ht="6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7"/>
      <c r="AC112" s="1"/>
      <c r="AD112" s="7"/>
      <c r="AE112" s="1"/>
      <c r="AF112" s="1"/>
      <c r="AG112" s="24"/>
      <c r="AH112" s="1"/>
      <c r="AI112" s="1"/>
      <c r="AJ112" s="1"/>
      <c r="AK112" s="1"/>
      <c r="AL112" s="1"/>
      <c r="AM112" s="1"/>
      <c r="AN112" s="1"/>
      <c r="AO112" s="1"/>
      <c r="AP112" s="7"/>
      <c r="AQ112" s="1"/>
      <c r="AR112" s="8" t="str">
        <f>'D10'!T112</f>
        <v>9-19-消防系統有效發揮冷卻作用</v>
      </c>
      <c r="AS112" s="13" t="str">
        <f>'D10'!U112</f>
        <v>R112=56.6% ~ 62.6%</v>
      </c>
      <c r="AT112" s="10" t="str">
        <f>'D10'!V112</f>
        <v>P(55)=0.003%</v>
      </c>
    </row>
    <row r="113" ht="6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7"/>
      <c r="AC113" s="1"/>
      <c r="AD113" s="7"/>
      <c r="AE113" s="1"/>
      <c r="AF113" s="1"/>
      <c r="AG113" s="24"/>
      <c r="AH113" s="1"/>
      <c r="AI113" s="1"/>
      <c r="AJ113" s="1"/>
      <c r="AK113" s="1"/>
      <c r="AL113" s="1"/>
      <c r="AM113" s="1"/>
      <c r="AN113" s="1"/>
      <c r="AO113" s="1"/>
      <c r="AP113" s="7"/>
      <c r="AQ113" s="1"/>
      <c r="AR113" s="13" t="str">
        <f>'D10'!T113</f>
        <v>R111=53.7% ~ 59.4%</v>
      </c>
      <c r="AS113" s="26"/>
      <c r="AT113" s="1"/>
    </row>
    <row r="114" ht="6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7"/>
      <c r="AC114" s="1"/>
      <c r="AD114" s="7"/>
      <c r="AE114" s="1"/>
      <c r="AF114" s="1"/>
      <c r="AG114" s="24"/>
      <c r="AH114" s="1"/>
      <c r="AI114" s="1"/>
      <c r="AJ114" s="1"/>
      <c r="AK114" s="1"/>
      <c r="AL114" s="1"/>
      <c r="AM114" s="1"/>
      <c r="AN114" s="1"/>
      <c r="AO114" s="24"/>
      <c r="AP114" s="1"/>
      <c r="AQ114" s="24"/>
      <c r="AR114" s="1"/>
      <c r="AS114" s="30" t="str">
        <f>'D10'!U114</f>
        <v>10-38-熱煙或毒性氣體危害至儲能空間以外</v>
      </c>
      <c r="AT114" s="10" t="s">
        <v>107</v>
      </c>
    </row>
    <row r="115" ht="6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7"/>
      <c r="AC115" s="1"/>
      <c r="AD115" s="7"/>
      <c r="AE115" s="1"/>
      <c r="AF115" s="1"/>
      <c r="AG115" s="24"/>
      <c r="AH115" s="1"/>
      <c r="AI115" s="1"/>
      <c r="AJ115" s="1"/>
      <c r="AK115" s="1"/>
      <c r="AL115" s="1"/>
      <c r="AM115" s="1"/>
      <c r="AN115" s="1"/>
      <c r="AO115" s="1"/>
      <c r="AP115" s="30" t="str">
        <f>'D10'!R115</f>
        <v>8-10-可燃氣體濃度達到LFL</v>
      </c>
      <c r="AQ115" s="20"/>
      <c r="AR115" s="7"/>
      <c r="AS115" s="32" t="str">
        <f>'D10'!U115</f>
        <v>R113=37.4% ~ 43.4%</v>
      </c>
      <c r="AT115" s="10" t="str">
        <f>'D10'!V115</f>
        <v>P(56)=0.002%</v>
      </c>
    </row>
    <row r="116" ht="6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7"/>
      <c r="AC116" s="1"/>
      <c r="AD116" s="7"/>
      <c r="AE116" s="1"/>
      <c r="AF116" s="1"/>
      <c r="AG116" s="24"/>
      <c r="AH116" s="1"/>
      <c r="AI116" s="1"/>
      <c r="AJ116" s="1"/>
      <c r="AK116" s="1"/>
      <c r="AL116" s="1"/>
      <c r="AM116" s="1"/>
      <c r="AN116" s="1"/>
      <c r="AO116" s="1"/>
      <c r="AP116" s="32" t="str">
        <f>'D10'!R116</f>
        <v>R110=45.6% ~ 50.8%</v>
      </c>
      <c r="AQ116" s="14"/>
      <c r="AR116" s="7"/>
      <c r="AS116" s="1"/>
      <c r="AT116" s="1"/>
    </row>
    <row r="117" ht="6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7"/>
      <c r="AC117" s="1"/>
      <c r="AD117" s="7"/>
      <c r="AE117" s="1"/>
      <c r="AF117" s="1"/>
      <c r="AG117" s="24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7"/>
      <c r="AS117" s="8" t="str">
        <f>'D10'!U117</f>
        <v>10-39-熱煙或毒性氣體未危害至儲能空間以外</v>
      </c>
      <c r="AT117" s="10" t="s">
        <v>108</v>
      </c>
    </row>
    <row r="118" ht="6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7"/>
      <c r="AC118" s="1"/>
      <c r="AD118" s="7"/>
      <c r="AE118" s="1"/>
      <c r="AF118" s="1"/>
      <c r="AG118" s="24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7"/>
      <c r="AS118" s="13" t="str">
        <f>'D10'!U118</f>
        <v>R115=45.3% ~ 50.1%</v>
      </c>
      <c r="AT118" s="10" t="str">
        <f>'D10'!V118</f>
        <v>P(57)=0.002%</v>
      </c>
    </row>
    <row r="119" ht="6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7"/>
      <c r="AC119" s="1"/>
      <c r="AD119" s="7"/>
      <c r="AE119" s="1"/>
      <c r="AF119" s="1"/>
      <c r="AG119" s="24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30" t="str">
        <f>'D10'!T119</f>
        <v>9-20-消防系統無法發揮冷卻作用</v>
      </c>
      <c r="AS119" s="26"/>
      <c r="AT119" s="1"/>
    </row>
    <row r="120" ht="6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7"/>
      <c r="AC120" s="1"/>
      <c r="AD120" s="7"/>
      <c r="AE120" s="1"/>
      <c r="AF120" s="1"/>
      <c r="AG120" s="24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32" t="str">
        <f>'D10'!T120</f>
        <v>R114=40.6% ~ 46.3%</v>
      </c>
      <c r="AS120" s="30" t="str">
        <f>'D10'!U120</f>
        <v>10-40-熱煙或毒性氣體危害至儲能空間以外</v>
      </c>
      <c r="AT120" s="10" t="s">
        <v>109</v>
      </c>
    </row>
    <row r="121" ht="6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7"/>
      <c r="AC121" s="1"/>
      <c r="AD121" s="7"/>
      <c r="AE121" s="1"/>
      <c r="AF121" s="1"/>
      <c r="AG121" s="24"/>
      <c r="AH121" s="1"/>
      <c r="AI121" s="1"/>
      <c r="AJ121" s="8" t="str">
        <f>'D10'!L121</f>
        <v>5-11-未發生電芯熱失控傳播現象</v>
      </c>
      <c r="AK121" s="9"/>
      <c r="AL121" s="10" t="s">
        <v>110</v>
      </c>
      <c r="AM121" s="1"/>
      <c r="AN121" s="1"/>
      <c r="AO121" s="1"/>
      <c r="AP121" s="1"/>
      <c r="AQ121" s="1"/>
      <c r="AR121" s="1"/>
      <c r="AS121" s="32" t="str">
        <f>'D10'!U121</f>
        <v>R116=49.9% ~ 54.7%</v>
      </c>
      <c r="AT121" s="10" t="str">
        <f>'D10'!V121</f>
        <v>P(58)=0.002%</v>
      </c>
    </row>
    <row r="122" ht="6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7"/>
      <c r="AC122" s="1"/>
      <c r="AD122" s="7"/>
      <c r="AE122" s="1"/>
      <c r="AF122" s="1"/>
      <c r="AG122" s="24"/>
      <c r="AH122" s="1"/>
      <c r="AI122" s="1"/>
      <c r="AJ122" s="13" t="str">
        <f>'D10'!L122</f>
        <v>R118=61.1% ~ 67.5%</v>
      </c>
      <c r="AK122" s="15"/>
      <c r="AL122" s="10" t="str">
        <f>'D10'!N122</f>
        <v>P(59)=1.326%</v>
      </c>
      <c r="AM122" s="1"/>
      <c r="AN122" s="1"/>
      <c r="AO122" s="1"/>
      <c r="AP122" s="1"/>
      <c r="AQ122" s="1"/>
      <c r="AR122" s="1"/>
      <c r="AS122" s="1"/>
      <c r="AT122" s="1"/>
    </row>
    <row r="123" ht="6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7"/>
      <c r="AC123" s="1"/>
      <c r="AD123" s="7"/>
      <c r="AE123" s="1"/>
      <c r="AF123" s="1"/>
      <c r="AG123" s="24"/>
      <c r="AH123" s="43" t="str">
        <f>'D10'!J123</f>
        <v>4-6-通風排出裝置未啟動</v>
      </c>
      <c r="AI123" s="20"/>
      <c r="AJ123" s="7"/>
      <c r="AK123" s="1"/>
      <c r="AL123" s="8" t="str">
        <f>'D10'!N123</f>
        <v>6-11-未發生模組熱失控傳播現象</v>
      </c>
      <c r="AM123" s="9"/>
      <c r="AN123" s="10" t="s">
        <v>111</v>
      </c>
      <c r="AO123" s="1"/>
      <c r="AP123" s="1"/>
      <c r="AQ123" s="1"/>
      <c r="AR123" s="1"/>
      <c r="AS123" s="8" t="str">
        <f>'D10'!U123</f>
        <v>10-41-熱煙或毒性氣體未危害至儲能空間以外</v>
      </c>
      <c r="AT123" s="10" t="s">
        <v>112</v>
      </c>
    </row>
    <row r="124" ht="6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7"/>
      <c r="AC124" s="1"/>
      <c r="AD124" s="7"/>
      <c r="AE124" s="1"/>
      <c r="AF124" s="1"/>
      <c r="AG124" s="1"/>
      <c r="AH124" s="32" t="str">
        <f>'D10'!J124</f>
        <v>R117=72.4% ~ 75.0%</v>
      </c>
      <c r="AI124" s="14"/>
      <c r="AJ124" s="7"/>
      <c r="AK124" s="1"/>
      <c r="AL124" s="13" t="str">
        <f>'D10'!N124</f>
        <v>R120=70.0% ~ 77.3%</v>
      </c>
      <c r="AM124" s="15"/>
      <c r="AN124" s="10" t="str">
        <f>'D10'!P124</f>
        <v>P(60)=0.537%</v>
      </c>
      <c r="AO124" s="1"/>
      <c r="AP124" s="1"/>
      <c r="AQ124" s="1"/>
      <c r="AR124" s="8" t="str">
        <f>'D10'!T124</f>
        <v>9-21-消防系統有效發揮冷卻作用</v>
      </c>
      <c r="AS124" s="13" t="str">
        <f>'D10'!U124</f>
        <v>R126=56.6% ~ 62.6%</v>
      </c>
      <c r="AT124" s="10" t="str">
        <f>'D10'!V124</f>
        <v>P(62)=0.005%</v>
      </c>
    </row>
    <row r="125" ht="6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7"/>
      <c r="AC125" s="1"/>
      <c r="AD125" s="7"/>
      <c r="AE125" s="1"/>
      <c r="AF125" s="1"/>
      <c r="AG125" s="1"/>
      <c r="AH125" s="1"/>
      <c r="AI125" s="24"/>
      <c r="AJ125" s="30" t="str">
        <f>'D10'!L125</f>
        <v>5-12-發生電芯熱失控傳播現象</v>
      </c>
      <c r="AK125" s="20"/>
      <c r="AL125" s="7"/>
      <c r="AM125" s="1"/>
      <c r="AN125" s="8" t="str">
        <f>'D10'!P125</f>
        <v>7-11-未發生電池櫃熱失控傳播現象</v>
      </c>
      <c r="AO125" s="9"/>
      <c r="AP125" s="10" t="s">
        <v>113</v>
      </c>
      <c r="AQ125" s="1"/>
      <c r="AR125" s="13" t="str">
        <f>'D10'!T125</f>
        <v>R125=63.2% ~ 69.9%</v>
      </c>
      <c r="AS125" s="26"/>
      <c r="AT125" s="1"/>
    </row>
    <row r="126" ht="6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0" t="str">
        <f>'D10'!D126</f>
        <v>1-2-值班室或EWCS未通報電池異常</v>
      </c>
      <c r="AC126" s="20"/>
      <c r="AD126" s="7"/>
      <c r="AE126" s="1"/>
      <c r="AF126" s="1"/>
      <c r="AG126" s="1"/>
      <c r="AH126" s="1"/>
      <c r="AI126" s="1"/>
      <c r="AJ126" s="32" t="str">
        <f>'D10'!L126</f>
        <v>R119=32.5% ~ 38.9%</v>
      </c>
      <c r="AK126" s="14"/>
      <c r="AL126" s="7"/>
      <c r="AM126" s="1"/>
      <c r="AN126" s="13" t="str">
        <f>'D10'!P126</f>
        <v>R122=73.1% ~ 80.8%</v>
      </c>
      <c r="AO126" s="15"/>
      <c r="AP126" s="10" t="str">
        <f>'D10'!R126</f>
        <v>P(61)=0.146%</v>
      </c>
      <c r="AQ126" s="24"/>
      <c r="AR126" s="1"/>
      <c r="AS126" s="30" t="str">
        <f>'D10'!U126</f>
        <v>10-42-熱煙或毒性氣體危害至儲能空間以外</v>
      </c>
      <c r="AT126" s="10" t="s">
        <v>114</v>
      </c>
    </row>
    <row r="127" ht="6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32" t="str">
        <f>'D10'!D127</f>
        <v>R092=33.8% ~ 40.1%</v>
      </c>
      <c r="AC127" s="14"/>
      <c r="AD127" s="7"/>
      <c r="AE127" s="1"/>
      <c r="AF127" s="1"/>
      <c r="AG127" s="1"/>
      <c r="AH127" s="1"/>
      <c r="AI127" s="1"/>
      <c r="AJ127" s="1"/>
      <c r="AK127" s="24"/>
      <c r="AL127" s="1"/>
      <c r="AM127" s="1"/>
      <c r="AN127" s="7"/>
      <c r="AO127" s="1"/>
      <c r="AP127" s="8" t="str">
        <f>'D10'!R127</f>
        <v>8-11-可燃氣體濃度未達到LFL</v>
      </c>
      <c r="AQ127" s="20"/>
      <c r="AR127" s="7"/>
      <c r="AS127" s="32" t="str">
        <f>'D10'!U127</f>
        <v>R127=37.4% ~ 43.4%</v>
      </c>
      <c r="AT127" s="10" t="str">
        <f>'D10'!V127</f>
        <v>P(63)=0.003%</v>
      </c>
    </row>
    <row r="128" ht="6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7"/>
      <c r="AE128" s="1"/>
      <c r="AF128" s="1"/>
      <c r="AG128" s="1"/>
      <c r="AH128" s="1"/>
      <c r="AI128" s="1"/>
      <c r="AJ128" s="1"/>
      <c r="AK128" s="1"/>
      <c r="AL128" s="30" t="str">
        <f>'D10'!N128</f>
        <v>6-12-發生模組熱失控傳播現象</v>
      </c>
      <c r="AM128" s="20"/>
      <c r="AN128" s="7"/>
      <c r="AO128" s="1"/>
      <c r="AP128" s="13" t="str">
        <f>'D10'!R128</f>
        <v>R124=24.6% ~ 27.2%</v>
      </c>
      <c r="AQ128" s="14"/>
      <c r="AR128" s="7"/>
      <c r="AS128" s="1"/>
      <c r="AT128" s="1"/>
    </row>
    <row r="129" ht="6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7"/>
      <c r="AE129" s="1"/>
      <c r="AF129" s="1"/>
      <c r="AG129" s="1"/>
      <c r="AH129" s="1"/>
      <c r="AI129" s="1"/>
      <c r="AJ129" s="1"/>
      <c r="AK129" s="1"/>
      <c r="AL129" s="32" t="str">
        <f>'D10'!N129</f>
        <v>R121=22.7% ~ 30.0%</v>
      </c>
      <c r="AM129" s="14"/>
      <c r="AN129" s="7"/>
      <c r="AO129" s="1"/>
      <c r="AP129" s="7"/>
      <c r="AQ129" s="1"/>
      <c r="AR129" s="7"/>
      <c r="AS129" s="8" t="str">
        <f>'D10'!U129</f>
        <v>10-43-熱煙或毒性氣體未危害至儲能空間以外</v>
      </c>
      <c r="AT129" s="10" t="s">
        <v>115</v>
      </c>
    </row>
    <row r="130" ht="6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7"/>
      <c r="AE130" s="1"/>
      <c r="AF130" s="1"/>
      <c r="AG130" s="1"/>
      <c r="AH130" s="1"/>
      <c r="AI130" s="1"/>
      <c r="AJ130" s="1"/>
      <c r="AK130" s="1"/>
      <c r="AL130" s="1"/>
      <c r="AM130" s="1"/>
      <c r="AN130" s="7"/>
      <c r="AO130" s="1"/>
      <c r="AP130" s="7"/>
      <c r="AQ130" s="1"/>
      <c r="AR130" s="7"/>
      <c r="AS130" s="13" t="str">
        <f>'D10'!U130</f>
        <v>R129=45.3% ~ 50.1%</v>
      </c>
      <c r="AT130" s="10" t="str">
        <f>'D10'!V130</f>
        <v>P(64)=0.002%</v>
      </c>
    </row>
    <row r="131" ht="6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7"/>
      <c r="AE131" s="1"/>
      <c r="AF131" s="1"/>
      <c r="AG131" s="1"/>
      <c r="AH131" s="1"/>
      <c r="AI131" s="1"/>
      <c r="AJ131" s="1"/>
      <c r="AK131" s="1"/>
      <c r="AL131" s="1"/>
      <c r="AM131" s="1"/>
      <c r="AN131" s="7"/>
      <c r="AO131" s="1"/>
      <c r="AP131" s="7"/>
      <c r="AQ131" s="1"/>
      <c r="AR131" s="30" t="str">
        <f>'D10'!T131</f>
        <v>9-22-消防系統無法發揮冷卻作用</v>
      </c>
      <c r="AS131" s="26"/>
      <c r="AT131" s="1"/>
    </row>
    <row r="132" ht="6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7"/>
      <c r="AE132" s="1"/>
      <c r="AF132" s="1"/>
      <c r="AG132" s="1"/>
      <c r="AH132" s="1"/>
      <c r="AI132" s="1"/>
      <c r="AJ132" s="1"/>
      <c r="AK132" s="1"/>
      <c r="AL132" s="1"/>
      <c r="AM132" s="1"/>
      <c r="AN132" s="30" t="str">
        <f>'D10'!P132</f>
        <v>7-12-發生電池櫃熱失控傳播現象</v>
      </c>
      <c r="AO132" s="20"/>
      <c r="AP132" s="7"/>
      <c r="AQ132" s="1"/>
      <c r="AR132" s="32" t="str">
        <f>'D10'!T132</f>
        <v>R128=30.1% ~ 36.8%</v>
      </c>
      <c r="AS132" s="30" t="str">
        <f>'D10'!U132</f>
        <v>10-44-熱煙或毒性氣體危害至儲能空間以外</v>
      </c>
      <c r="AT132" s="10" t="s">
        <v>116</v>
      </c>
    </row>
    <row r="133" ht="6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7"/>
      <c r="AE133" s="1"/>
      <c r="AF133" s="1"/>
      <c r="AG133" s="1"/>
      <c r="AH133" s="1"/>
      <c r="AI133" s="1"/>
      <c r="AJ133" s="1"/>
      <c r="AK133" s="1"/>
      <c r="AL133" s="1"/>
      <c r="AM133" s="1"/>
      <c r="AN133" s="32" t="str">
        <f>'D10'!P133</f>
        <v>R123=19.2% ~ 26.9%</v>
      </c>
      <c r="AO133" s="14"/>
      <c r="AP133" s="7"/>
      <c r="AQ133" s="1"/>
      <c r="AR133" s="1"/>
      <c r="AS133" s="32" t="str">
        <f>'D10'!U133</f>
        <v>R130=49.9% ~ 54.7%</v>
      </c>
      <c r="AT133" s="10" t="str">
        <f>'D10'!V133</f>
        <v>P(65)=0.002%</v>
      </c>
    </row>
    <row r="134" ht="6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7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7"/>
      <c r="AQ134" s="1"/>
      <c r="AR134" s="1"/>
      <c r="AS134" s="1"/>
      <c r="AT134" s="1"/>
    </row>
    <row r="135" ht="6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7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7"/>
      <c r="AQ135" s="1"/>
      <c r="AR135" s="1"/>
      <c r="AS135" s="8" t="str">
        <f>'D10'!U135</f>
        <v>10-45-熱煙或毒性氣體未危害至儲能空間以外</v>
      </c>
      <c r="AT135" s="10" t="s">
        <v>117</v>
      </c>
    </row>
    <row r="136" ht="6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7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7"/>
      <c r="AQ136" s="1"/>
      <c r="AR136" s="8" t="str">
        <f>'D10'!T136</f>
        <v>9-23-消防系統有效發揮冷卻作用</v>
      </c>
      <c r="AS136" s="13" t="str">
        <f>'D10'!U136</f>
        <v>R133=56.6% ~ 62.6%</v>
      </c>
      <c r="AT136" s="10" t="str">
        <f>'D10'!V136</f>
        <v>P(66)=0.011%</v>
      </c>
    </row>
    <row r="137" ht="6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7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7"/>
      <c r="AQ137" s="1"/>
      <c r="AR137" s="13" t="str">
        <f>'D10'!T137</f>
        <v>R132=53.7% ~ 59.4%</v>
      </c>
      <c r="AS137" s="26"/>
      <c r="AT137" s="1"/>
    </row>
    <row r="138" ht="6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7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7"/>
      <c r="AQ138" s="24"/>
      <c r="AR138" s="1"/>
      <c r="AS138" s="30" t="str">
        <f>'D10'!U138</f>
        <v>10-46-熱煙或毒性氣體危害至儲能空間以外</v>
      </c>
      <c r="AT138" s="10" t="s">
        <v>118</v>
      </c>
    </row>
    <row r="139" ht="6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7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30" t="str">
        <f>'D10'!R139</f>
        <v>8-12-可燃氣體濃度達到LFL</v>
      </c>
      <c r="AQ139" s="20"/>
      <c r="AR139" s="7"/>
      <c r="AS139" s="32" t="str">
        <f>'D10'!U139</f>
        <v>R134=37.4% ~ 43.4%</v>
      </c>
      <c r="AT139" s="10" t="str">
        <f>'D10'!V139</f>
        <v>P(67)=0.007%</v>
      </c>
    </row>
    <row r="140" ht="6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7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32" t="str">
        <f>'D10'!R140</f>
        <v>R131=72.8% ~ 75.4%</v>
      </c>
      <c r="AQ140" s="14"/>
      <c r="AR140" s="7"/>
      <c r="AS140" s="1"/>
      <c r="AT140" s="1"/>
    </row>
    <row r="141" ht="6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7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7"/>
      <c r="AS141" s="8" t="str">
        <f>'D10'!U141</f>
        <v>10-47-熱煙或毒性氣體未危害至儲能空間以外</v>
      </c>
      <c r="AT141" s="10" t="s">
        <v>119</v>
      </c>
    </row>
    <row r="142" ht="6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7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7"/>
      <c r="AS142" s="13" t="str">
        <f>'D10'!U142</f>
        <v>R136=45.3% ~ 50.1%</v>
      </c>
      <c r="AT142" s="10" t="str">
        <f>'D10'!V142</f>
        <v>P(68)=0.007%</v>
      </c>
    </row>
    <row r="143" ht="6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7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30" t="str">
        <f>'D10'!T143</f>
        <v>9-24-消防系統無法發揮冷卻作用</v>
      </c>
      <c r="AS143" s="26"/>
      <c r="AT143" s="1"/>
    </row>
    <row r="144" ht="6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7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32" t="str">
        <f>'D10'!T144</f>
        <v>R135=40.6% ~ 46.3%</v>
      </c>
      <c r="AS144" s="30" t="str">
        <f>'D10'!U144</f>
        <v>10-48-熱煙或毒性氣體危害至儲能空間以外</v>
      </c>
      <c r="AT144" s="10" t="s">
        <v>120</v>
      </c>
    </row>
    <row r="145" ht="6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7"/>
      <c r="AE145" s="1"/>
      <c r="AF145" s="8" t="str">
        <f>'D10'!H145</f>
        <v>3-7-電芯未發生熱失控</v>
      </c>
      <c r="AG145" s="9"/>
      <c r="AH145" s="10" t="s">
        <v>121</v>
      </c>
      <c r="AI145" s="1"/>
      <c r="AJ145" s="8" t="str">
        <f>'D10'!L145</f>
        <v>5-13-未發生電芯熱失控傳播現象</v>
      </c>
      <c r="AK145" s="9"/>
      <c r="AL145" s="10" t="s">
        <v>122</v>
      </c>
      <c r="AM145" s="1"/>
      <c r="AN145" s="1"/>
      <c r="AO145" s="1"/>
      <c r="AP145" s="1"/>
      <c r="AQ145" s="1"/>
      <c r="AR145" s="1"/>
      <c r="AS145" s="32" t="str">
        <f>'D10'!U145</f>
        <v>R137=49.9% ~ 54.7%</v>
      </c>
      <c r="AT145" s="10" t="str">
        <f>'D10'!V145</f>
        <v>P(69)=0.007%</v>
      </c>
    </row>
    <row r="146" ht="6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7"/>
      <c r="AE146" s="24"/>
      <c r="AF146" s="25" t="str">
        <f>'D10'!H146</f>
        <v>R139=22.6% ~ 24.9%</v>
      </c>
      <c r="AG146" s="15"/>
      <c r="AH146" s="10" t="str">
        <f>'D10'!J146</f>
        <v>P(70)=5.652%</v>
      </c>
      <c r="AI146" s="1"/>
      <c r="AJ146" s="13" t="str">
        <f>'D10'!L146</f>
        <v>R142=61.1% ~ 67.5%</v>
      </c>
      <c r="AK146" s="15"/>
      <c r="AL146" s="10" t="str">
        <f>'D10'!N146</f>
        <v>P(71)=2.419%</v>
      </c>
      <c r="AM146" s="1"/>
      <c r="AN146" s="1"/>
      <c r="AO146" s="1"/>
      <c r="AP146" s="1"/>
      <c r="AQ146" s="1"/>
      <c r="AR146" s="1"/>
      <c r="AS146" s="1"/>
      <c r="AT146" s="1"/>
    </row>
    <row r="147" ht="6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7"/>
      <c r="AE147" s="24"/>
      <c r="AF147" s="1"/>
      <c r="AG147" s="1"/>
      <c r="AH147" s="8" t="str">
        <f>'D10'!J147</f>
        <v>4-7-通風排出裝置啟動</v>
      </c>
      <c r="AI147" s="20"/>
      <c r="AJ147" s="7"/>
      <c r="AK147" s="1"/>
      <c r="AL147" s="8" t="str">
        <f>'D10'!N147</f>
        <v>6-13-未發生模組熱失控傳播現象</v>
      </c>
      <c r="AM147" s="9"/>
      <c r="AN147" s="10" t="s">
        <v>123</v>
      </c>
      <c r="AO147" s="1"/>
      <c r="AP147" s="1"/>
      <c r="AQ147" s="1"/>
      <c r="AR147" s="1"/>
      <c r="AS147" s="8" t="str">
        <f>'D10'!U147</f>
        <v>10-49-熱煙或毒性氣體未危害至儲能空間以外</v>
      </c>
      <c r="AT147" s="10" t="s">
        <v>124</v>
      </c>
    </row>
    <row r="148" ht="6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7"/>
      <c r="AE148" s="24"/>
      <c r="AF148" s="1"/>
      <c r="AG148" s="24"/>
      <c r="AH148" s="25" t="str">
        <f>'D10'!J148</f>
        <v>R141=19.7% ~ 21.7%</v>
      </c>
      <c r="AI148" s="14"/>
      <c r="AJ148" s="7"/>
      <c r="AK148" s="1"/>
      <c r="AL148" s="13" t="str">
        <f>'D10'!N148</f>
        <v>R144=70.0% ~ 77.3%</v>
      </c>
      <c r="AM148" s="15"/>
      <c r="AN148" s="10" t="str">
        <f>'D10'!P148</f>
        <v>P(72)=0.984%</v>
      </c>
      <c r="AO148" s="1"/>
      <c r="AP148" s="1"/>
      <c r="AQ148" s="1"/>
      <c r="AR148" s="8" t="str">
        <f>'D10'!T148</f>
        <v>9-25-消防系統有效發揮冷卻作用</v>
      </c>
      <c r="AS148" s="13" t="str">
        <f>'D10'!U148</f>
        <v>R150=56.6% ~ 62.6%</v>
      </c>
      <c r="AT148" s="10" t="str">
        <f>'D10'!V148</f>
        <v>P(74)=0.017%</v>
      </c>
    </row>
    <row r="149" ht="6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7"/>
      <c r="AE149" s="24"/>
      <c r="AF149" s="1"/>
      <c r="AG149" s="24"/>
      <c r="AH149" s="1"/>
      <c r="AI149" s="24"/>
      <c r="AJ149" s="30" t="str">
        <f>'D10'!L149</f>
        <v>5-14-發生電芯熱失控傳播現象</v>
      </c>
      <c r="AK149" s="20"/>
      <c r="AL149" s="7"/>
      <c r="AM149" s="1"/>
      <c r="AN149" s="8" t="str">
        <f>'D10'!P149</f>
        <v>7-13-未發生電池櫃熱失控傳播現象</v>
      </c>
      <c r="AO149" s="9"/>
      <c r="AP149" s="10" t="s">
        <v>125</v>
      </c>
      <c r="AQ149" s="1"/>
      <c r="AR149" s="13" t="str">
        <f>'D10'!T149</f>
        <v>R149=63.2% ~ 69.9%</v>
      </c>
      <c r="AS149" s="26"/>
      <c r="AT149" s="1"/>
    </row>
    <row r="150" ht="6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7"/>
      <c r="AE150" s="24"/>
      <c r="AF150" s="1"/>
      <c r="AG150" s="24"/>
      <c r="AH150" s="1"/>
      <c r="AI150" s="1"/>
      <c r="AJ150" s="32" t="str">
        <f>'D10'!L150</f>
        <v>R143=32.5% ~ 38.9%</v>
      </c>
      <c r="AK150" s="14"/>
      <c r="AL150" s="7"/>
      <c r="AM150" s="1"/>
      <c r="AN150" s="13" t="str">
        <f>'D10'!P150</f>
        <v>R146=73.1% ~ 80.8%</v>
      </c>
      <c r="AO150" s="15"/>
      <c r="AP150" s="10" t="str">
        <f>'D10'!R150</f>
        <v>P(73)=0.269%</v>
      </c>
      <c r="AQ150" s="24"/>
      <c r="AR150" s="1"/>
      <c r="AS150" s="30" t="str">
        <f>'D10'!U150</f>
        <v>10-50-熱煙或毒性氣體危害至儲能空間以外</v>
      </c>
      <c r="AT150" s="10" t="s">
        <v>126</v>
      </c>
    </row>
    <row r="151" ht="6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30" t="str">
        <f>'D10'!F151</f>
        <v>2-4-BESS未緊急安全關斷</v>
      </c>
      <c r="AE151" s="20"/>
      <c r="AF151" s="1"/>
      <c r="AG151" s="24"/>
      <c r="AH151" s="1"/>
      <c r="AI151" s="1"/>
      <c r="AJ151" s="1"/>
      <c r="AK151" s="24"/>
      <c r="AL151" s="1"/>
      <c r="AM151" s="1"/>
      <c r="AN151" s="7"/>
      <c r="AO151" s="1"/>
      <c r="AP151" s="8" t="str">
        <f>'D10'!R151</f>
        <v>8-13-可燃氣體濃度未達到LFL</v>
      </c>
      <c r="AQ151" s="20"/>
      <c r="AR151" s="7"/>
      <c r="AS151" s="32" t="str">
        <f>'D10'!U151</f>
        <v>R151=37.4% ~ 43.4%</v>
      </c>
      <c r="AT151" s="10" t="str">
        <f>'D10'!V151</f>
        <v>P(75)=0.011%</v>
      </c>
    </row>
    <row r="152" ht="6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32" t="str">
        <f>'D10'!F152</f>
        <v>R138=62.4% ~ 66.0%</v>
      </c>
      <c r="AE152" s="14"/>
      <c r="AF152" s="1"/>
      <c r="AG152" s="24"/>
      <c r="AH152" s="1"/>
      <c r="AI152" s="1"/>
      <c r="AJ152" s="1"/>
      <c r="AK152" s="1"/>
      <c r="AL152" s="30" t="str">
        <f>'D10'!N152</f>
        <v>6-14-發生模組熱失控傳播現象</v>
      </c>
      <c r="AM152" s="20"/>
      <c r="AN152" s="7"/>
      <c r="AO152" s="1"/>
      <c r="AP152" s="13" t="str">
        <f>'D10'!R152</f>
        <v>R148=49.2% ~ 54.4%</v>
      </c>
      <c r="AQ152" s="14"/>
      <c r="AR152" s="7"/>
      <c r="AS152" s="1"/>
      <c r="AT152" s="1"/>
    </row>
    <row r="153" ht="6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24"/>
      <c r="AF153" s="1"/>
      <c r="AG153" s="24"/>
      <c r="AH153" s="1"/>
      <c r="AI153" s="1"/>
      <c r="AJ153" s="1"/>
      <c r="AK153" s="1"/>
      <c r="AL153" s="32" t="str">
        <f>'D10'!N153</f>
        <v>R145=22.7% ~ 30.0%</v>
      </c>
      <c r="AM153" s="14"/>
      <c r="AN153" s="7"/>
      <c r="AO153" s="1"/>
      <c r="AP153" s="7"/>
      <c r="AQ153" s="1"/>
      <c r="AR153" s="7"/>
      <c r="AS153" s="8" t="str">
        <f>'D10'!U153</f>
        <v>10-51-熱煙或毒性氣體未危害至儲能空間以外</v>
      </c>
      <c r="AT153" s="10" t="s">
        <v>127</v>
      </c>
    </row>
    <row r="154" ht="6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24"/>
      <c r="AF154" s="1"/>
      <c r="AG154" s="24"/>
      <c r="AH154" s="1"/>
      <c r="AI154" s="1"/>
      <c r="AJ154" s="1"/>
      <c r="AK154" s="1"/>
      <c r="AL154" s="1"/>
      <c r="AM154" s="1"/>
      <c r="AN154" s="7"/>
      <c r="AO154" s="1"/>
      <c r="AP154" s="7"/>
      <c r="AQ154" s="1"/>
      <c r="AR154" s="7"/>
      <c r="AS154" s="13" t="str">
        <f>'D10'!U154</f>
        <v>R153=45.3% ~ 50.1%</v>
      </c>
      <c r="AT154" s="10" t="str">
        <f>'D10'!V154</f>
        <v>P(76)=0.007%</v>
      </c>
    </row>
    <row r="155" ht="6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24"/>
      <c r="AF155" s="1"/>
      <c r="AG155" s="24"/>
      <c r="AH155" s="1"/>
      <c r="AI155" s="1"/>
      <c r="AJ155" s="1"/>
      <c r="AK155" s="1"/>
      <c r="AL155" s="1"/>
      <c r="AM155" s="24"/>
      <c r="AN155" s="1"/>
      <c r="AO155" s="1"/>
      <c r="AP155" s="7"/>
      <c r="AQ155" s="1"/>
      <c r="AR155" s="30" t="str">
        <f>'D10'!T155</f>
        <v>9-26-消防系統無法發揮冷卻作用</v>
      </c>
      <c r="AS155" s="26"/>
      <c r="AT155" s="1"/>
    </row>
    <row r="156" ht="6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24"/>
      <c r="AF156" s="1"/>
      <c r="AG156" s="24"/>
      <c r="AH156" s="1"/>
      <c r="AI156" s="1"/>
      <c r="AJ156" s="1"/>
      <c r="AK156" s="1"/>
      <c r="AL156" s="1"/>
      <c r="AM156" s="24"/>
      <c r="AN156" s="1"/>
      <c r="AO156" s="1"/>
      <c r="AP156" s="7"/>
      <c r="AQ156" s="1"/>
      <c r="AR156" s="32" t="str">
        <f>'D10'!T156</f>
        <v>R152=30.1% ~ 36.8%</v>
      </c>
      <c r="AS156" s="30" t="str">
        <f>'D10'!U156</f>
        <v>10-52-熱煙或毒性氣體危害至儲能空間以外</v>
      </c>
      <c r="AT156" s="10" t="s">
        <v>128</v>
      </c>
    </row>
    <row r="157" ht="6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24"/>
      <c r="AF157" s="1"/>
      <c r="AG157" s="24"/>
      <c r="AH157" s="1"/>
      <c r="AI157" s="1"/>
      <c r="AJ157" s="1"/>
      <c r="AK157" s="1"/>
      <c r="AL157" s="1"/>
      <c r="AM157" s="1"/>
      <c r="AN157" s="30" t="str">
        <f>'D10'!P157</f>
        <v>7-14-發生電池櫃熱失控傳播現象</v>
      </c>
      <c r="AO157" s="20"/>
      <c r="AP157" s="7"/>
      <c r="AQ157" s="1"/>
      <c r="AR157" s="1"/>
      <c r="AS157" s="32" t="str">
        <f>'D10'!U157</f>
        <v>R154=49.9% ~ 54.7%</v>
      </c>
      <c r="AT157" s="10" t="str">
        <f>'D10'!V157</f>
        <v>P(77)=0.007%</v>
      </c>
    </row>
    <row r="158" ht="6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24"/>
      <c r="AF158" s="43" t="str">
        <f>'D10'!H158</f>
        <v>3-8-電芯發生熱失控</v>
      </c>
      <c r="AG158" s="20"/>
      <c r="AH158" s="1"/>
      <c r="AI158" s="1"/>
      <c r="AJ158" s="1"/>
      <c r="AK158" s="1"/>
      <c r="AL158" s="1"/>
      <c r="AM158" s="1"/>
      <c r="AN158" s="32" t="str">
        <f>'D10'!P158</f>
        <v>R147=19.2% ~ 26.9%</v>
      </c>
      <c r="AO158" s="14"/>
      <c r="AP158" s="7"/>
      <c r="AQ158" s="1"/>
      <c r="AR158" s="1"/>
      <c r="AS158" s="1"/>
      <c r="AT158" s="1"/>
    </row>
    <row r="159" ht="6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2" t="str">
        <f>'D10'!H159</f>
        <v>R140=62.4% ~ 66.0%</v>
      </c>
      <c r="AG159" s="14"/>
      <c r="AH159" s="1"/>
      <c r="AI159" s="1"/>
      <c r="AJ159" s="1"/>
      <c r="AK159" s="1"/>
      <c r="AL159" s="1"/>
      <c r="AM159" s="1"/>
      <c r="AN159" s="1"/>
      <c r="AO159" s="1"/>
      <c r="AP159" s="7"/>
      <c r="AQ159" s="1"/>
      <c r="AR159" s="1"/>
      <c r="AS159" s="8" t="str">
        <f>'D10'!U159</f>
        <v>10-53-熱煙或毒性氣體未危害至儲能空間以外</v>
      </c>
      <c r="AT159" s="10" t="s">
        <v>129</v>
      </c>
    </row>
    <row r="160" ht="6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24"/>
      <c r="AH160" s="1"/>
      <c r="AI160" s="1"/>
      <c r="AJ160" s="1"/>
      <c r="AK160" s="1"/>
      <c r="AL160" s="1"/>
      <c r="AM160" s="1"/>
      <c r="AN160" s="1"/>
      <c r="AO160" s="1"/>
      <c r="AP160" s="7"/>
      <c r="AQ160" s="1"/>
      <c r="AR160" s="8" t="str">
        <f>'D10'!T160</f>
        <v>9-27-消防系統有效發揮冷卻作用</v>
      </c>
      <c r="AS160" s="13" t="str">
        <f>'D10'!U160</f>
        <v>R157=56.6% ~ 62.6%</v>
      </c>
      <c r="AT160" s="10" t="str">
        <f>'D10'!V160</f>
        <v>P(78)=0.013%</v>
      </c>
    </row>
    <row r="161" ht="6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24"/>
      <c r="AH161" s="1"/>
      <c r="AI161" s="1"/>
      <c r="AJ161" s="1"/>
      <c r="AK161" s="1"/>
      <c r="AL161" s="1"/>
      <c r="AM161" s="1"/>
      <c r="AN161" s="1"/>
      <c r="AO161" s="1"/>
      <c r="AP161" s="7"/>
      <c r="AQ161" s="1"/>
      <c r="AR161" s="13" t="str">
        <f>'D10'!T161</f>
        <v>R156=53.7% ~ 59.4%</v>
      </c>
      <c r="AS161" s="26"/>
      <c r="AT161" s="1"/>
    </row>
    <row r="162" ht="6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24"/>
      <c r="AH162" s="1"/>
      <c r="AI162" s="1"/>
      <c r="AJ162" s="1"/>
      <c r="AK162" s="1"/>
      <c r="AL162" s="1"/>
      <c r="AM162" s="1"/>
      <c r="AN162" s="1"/>
      <c r="AO162" s="24"/>
      <c r="AP162" s="1"/>
      <c r="AQ162" s="24"/>
      <c r="AR162" s="1"/>
      <c r="AS162" s="30" t="str">
        <f>'D10'!U162</f>
        <v>10-54-熱煙或毒性氣體危害至儲能空間以外</v>
      </c>
      <c r="AT162" s="10" t="s">
        <v>130</v>
      </c>
    </row>
    <row r="163" ht="6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24"/>
      <c r="AH163" s="1"/>
      <c r="AI163" s="1"/>
      <c r="AJ163" s="1"/>
      <c r="AK163" s="1"/>
      <c r="AL163" s="1"/>
      <c r="AM163" s="1"/>
      <c r="AN163" s="1"/>
      <c r="AO163" s="1"/>
      <c r="AP163" s="30" t="str">
        <f>'D10'!R163</f>
        <v>8-14-可燃氣體濃度達到LFL</v>
      </c>
      <c r="AQ163" s="20"/>
      <c r="AR163" s="7"/>
      <c r="AS163" s="32" t="str">
        <f>'D10'!U163</f>
        <v>R158=37.4% ~ 43.4%</v>
      </c>
      <c r="AT163" s="10" t="str">
        <f>'D10'!V163</f>
        <v>P(79)=0.009%</v>
      </c>
    </row>
    <row r="164" ht="6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24"/>
      <c r="AH164" s="1"/>
      <c r="AI164" s="1"/>
      <c r="AJ164" s="1"/>
      <c r="AK164" s="1"/>
      <c r="AL164" s="1"/>
      <c r="AM164" s="1"/>
      <c r="AN164" s="1"/>
      <c r="AO164" s="1"/>
      <c r="AP164" s="32" t="str">
        <f>'D10'!R164</f>
        <v>R155=45.6% ~ 50.8%</v>
      </c>
      <c r="AQ164" s="14"/>
      <c r="AR164" s="7"/>
      <c r="AS164" s="1"/>
      <c r="AT164" s="1"/>
    </row>
    <row r="165" ht="6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24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7"/>
      <c r="AS165" s="8" t="str">
        <f>'D10'!U165</f>
        <v>10-55-熱煙或毒性氣體未危害至儲能空間以外</v>
      </c>
      <c r="AT165" s="10" t="s">
        <v>131</v>
      </c>
    </row>
    <row r="166" ht="6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24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7"/>
      <c r="AS166" s="13" t="str">
        <f>'D10'!U166</f>
        <v>R160=45.3% ~ 50.1%</v>
      </c>
      <c r="AT166" s="10" t="str">
        <f>'D10'!V166</f>
        <v>P(80)=0.008%</v>
      </c>
    </row>
    <row r="167" ht="6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24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30" t="str">
        <f>'D10'!T167</f>
        <v>9-28消防系統無法發揮冷卻作用</v>
      </c>
      <c r="AS167" s="26"/>
      <c r="AT167" s="1"/>
    </row>
    <row r="168" ht="6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24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32" t="str">
        <f>'D10'!T168</f>
        <v>R159=40.6% ~ 46.3%</v>
      </c>
      <c r="AS168" s="30" t="str">
        <f>'D10'!U168</f>
        <v>10-56-熱煙或毒性氣體危害至儲能空間以外</v>
      </c>
      <c r="AT168" s="10" t="s">
        <v>132</v>
      </c>
    </row>
    <row r="169" ht="6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24"/>
      <c r="AH169" s="1"/>
      <c r="AI169" s="1"/>
      <c r="AJ169" s="8" t="str">
        <f>'D10'!L169</f>
        <v>5-15-未發生電芯熱失控傳播現象</v>
      </c>
      <c r="AK169" s="9"/>
      <c r="AL169" s="10" t="s">
        <v>133</v>
      </c>
      <c r="AM169" s="1"/>
      <c r="AN169" s="1"/>
      <c r="AO169" s="1"/>
      <c r="AP169" s="1"/>
      <c r="AQ169" s="1"/>
      <c r="AR169" s="1"/>
      <c r="AS169" s="32" t="str">
        <f>'D10'!U169</f>
        <v>R161=49.9% ~ 54.7%</v>
      </c>
      <c r="AT169" s="10" t="str">
        <f>'D10'!V169</f>
        <v>P(81)=0.009%</v>
      </c>
    </row>
    <row r="170" ht="6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24"/>
      <c r="AH170" s="1"/>
      <c r="AI170" s="1"/>
      <c r="AJ170" s="13" t="str">
        <f>'D10'!L170</f>
        <v>R163=61.1% ~ 67.5%</v>
      </c>
      <c r="AK170" s="15"/>
      <c r="AL170" s="10" t="str">
        <f>'D10'!N170</f>
        <v>P(82)=9.281%</v>
      </c>
      <c r="AM170" s="1"/>
      <c r="AN170" s="1"/>
      <c r="AO170" s="1"/>
      <c r="AP170" s="1"/>
      <c r="AQ170" s="1"/>
      <c r="AR170" s="1"/>
      <c r="AS170" s="1"/>
      <c r="AT170" s="1"/>
    </row>
    <row r="171" ht="6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24"/>
      <c r="AH171" s="43" t="str">
        <f>'D10'!J171</f>
        <v>4-8-通風排出裝置未啟動</v>
      </c>
      <c r="AI171" s="20"/>
      <c r="AJ171" s="7"/>
      <c r="AK171" s="1"/>
      <c r="AL171" s="8" t="str">
        <f>'D10'!N171</f>
        <v>6-15-未發生模組熱失控傳播現象</v>
      </c>
      <c r="AM171" s="9"/>
      <c r="AN171" s="10" t="s">
        <v>134</v>
      </c>
      <c r="AO171" s="1"/>
      <c r="AP171" s="1"/>
      <c r="AQ171" s="1"/>
      <c r="AR171" s="1"/>
      <c r="AS171" s="8" t="str">
        <f>'D10'!U171</f>
        <v>10-57-熱煙或毒性氣體未危害至儲能空間以外</v>
      </c>
      <c r="AT171" s="10" t="s">
        <v>135</v>
      </c>
    </row>
    <row r="172" ht="6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32" t="str">
        <f>'D10'!J172</f>
        <v>R162=78.3% ~ 80.3%</v>
      </c>
      <c r="AI172" s="14"/>
      <c r="AJ172" s="7"/>
      <c r="AK172" s="1"/>
      <c r="AL172" s="13" t="str">
        <f>'D10'!N172</f>
        <v>R165=70.0% ~ 77.3%</v>
      </c>
      <c r="AM172" s="15"/>
      <c r="AN172" s="10" t="str">
        <f>'D10'!P172</f>
        <v>P(83)=3.804%</v>
      </c>
      <c r="AO172" s="1"/>
      <c r="AP172" s="1"/>
      <c r="AQ172" s="1"/>
      <c r="AR172" s="8" t="str">
        <f>'D10'!T172</f>
        <v>9-29-消防系統有效發揮冷卻作用</v>
      </c>
      <c r="AS172" s="13" t="str">
        <f>'D10'!U172</f>
        <v>R171=56.6% ~ 62.6%</v>
      </c>
      <c r="AT172" s="10" t="str">
        <f>'D10'!V172</f>
        <v>P(85)=0.063%</v>
      </c>
    </row>
    <row r="173" ht="6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24"/>
      <c r="AJ173" s="30" t="str">
        <f>'D10'!L173</f>
        <v>5-16-發生電芯熱失控傳播現象</v>
      </c>
      <c r="AK173" s="20"/>
      <c r="AL173" s="7"/>
      <c r="AM173" s="1"/>
      <c r="AN173" s="8" t="str">
        <f>'D10'!P173</f>
        <v>7-15-未發生電池櫃熱失控傳播現象</v>
      </c>
      <c r="AO173" s="9"/>
      <c r="AP173" s="10" t="s">
        <v>136</v>
      </c>
      <c r="AQ173" s="1"/>
      <c r="AR173" s="13" t="str">
        <f>'D10'!T173</f>
        <v>R170=63.2% ~ 69.9%</v>
      </c>
      <c r="AS173" s="26"/>
      <c r="AT173" s="1"/>
    </row>
    <row r="174" ht="6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32" t="str">
        <f>'D10'!L174</f>
        <v>R164=32.5% ~ 38.9%</v>
      </c>
      <c r="AK174" s="14"/>
      <c r="AL174" s="7"/>
      <c r="AM174" s="1"/>
      <c r="AN174" s="13" t="str">
        <f>'D10'!P174</f>
        <v>R167=73.1% ~ 80.8%</v>
      </c>
      <c r="AO174" s="15"/>
      <c r="AP174" s="10" t="str">
        <f>'D10'!R174</f>
        <v>P(84)=1.034%</v>
      </c>
      <c r="AQ174" s="24"/>
      <c r="AR174" s="1"/>
      <c r="AS174" s="30" t="str">
        <f>'D10'!U174</f>
        <v>10-58-熱煙或毒性氣體危害至儲能空間以外</v>
      </c>
      <c r="AT174" s="10" t="s">
        <v>137</v>
      </c>
    </row>
    <row r="175" ht="6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4"/>
      <c r="AL175" s="1"/>
      <c r="AM175" s="1"/>
      <c r="AN175" s="7"/>
      <c r="AO175" s="1"/>
      <c r="AP175" s="8" t="str">
        <f>'D10'!R175</f>
        <v>8-15-可燃氣體濃度未達到LFL</v>
      </c>
      <c r="AQ175" s="20"/>
      <c r="AR175" s="7"/>
      <c r="AS175" s="32" t="str">
        <f>'D10'!U175</f>
        <v>R172=37.4% ~ 43.4%</v>
      </c>
      <c r="AT175" s="10" t="str">
        <f>'D10'!V175</f>
        <v>P(86)=0.043%</v>
      </c>
    </row>
    <row r="176" ht="6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30" t="str">
        <f>'D10'!N176</f>
        <v>6-16-發生模組熱失控傳播現象</v>
      </c>
      <c r="AM176" s="20"/>
      <c r="AN176" s="7"/>
      <c r="AO176" s="1"/>
      <c r="AP176" s="13" t="str">
        <f>'D10'!R176</f>
        <v>R169=24.6% ~ 27.2%</v>
      </c>
      <c r="AQ176" s="14"/>
      <c r="AR176" s="7"/>
      <c r="AS176" s="1"/>
      <c r="AT176" s="1"/>
    </row>
    <row r="177" ht="6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32" t="str">
        <f>'D10'!N177</f>
        <v>R166=22.7% ~ 30.0%</v>
      </c>
      <c r="AM177" s="14"/>
      <c r="AN177" s="7"/>
      <c r="AO177" s="1"/>
      <c r="AP177" s="7"/>
      <c r="AQ177" s="1"/>
      <c r="AR177" s="7"/>
      <c r="AS177" s="8" t="str">
        <f>'D10'!U177</f>
        <v>10-59-熱煙或毒性氣體未危害至儲能空間以外</v>
      </c>
      <c r="AT177" s="10" t="s">
        <v>138</v>
      </c>
    </row>
    <row r="178" ht="6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7"/>
      <c r="AO178" s="1"/>
      <c r="AP178" s="7"/>
      <c r="AQ178" s="1"/>
      <c r="AR178" s="7"/>
      <c r="AS178" s="13" t="str">
        <f>'D10'!U178</f>
        <v>R174=45.3% ~ 50.1%</v>
      </c>
      <c r="AT178" s="10" t="str">
        <f>'D10'!V178</f>
        <v>P(87)=0.025%</v>
      </c>
    </row>
    <row r="179" ht="6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7"/>
      <c r="AO179" s="1"/>
      <c r="AP179" s="7"/>
      <c r="AQ179" s="1"/>
      <c r="AR179" s="30" t="str">
        <f>'D10'!T179</f>
        <v>9-30-消防系統無法發揮冷卻作用</v>
      </c>
      <c r="AS179" s="26"/>
      <c r="AT179" s="1"/>
    </row>
    <row r="180" ht="6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30" t="str">
        <f>'D10'!P180</f>
        <v>7-16-發生電池櫃熱失控傳播現象</v>
      </c>
      <c r="AO180" s="20"/>
      <c r="AP180" s="7"/>
      <c r="AQ180" s="1"/>
      <c r="AR180" s="32" t="str">
        <f>'D10'!T180</f>
        <v>R173=30.1% ~ 36.8%</v>
      </c>
      <c r="AS180" s="30" t="str">
        <f>'D10'!U180</f>
        <v>10-60-熱煙或毒性氣體危害至儲能空間以外</v>
      </c>
      <c r="AT180" s="10" t="s">
        <v>139</v>
      </c>
    </row>
    <row r="181" ht="6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32" t="str">
        <f>'D10'!P181</f>
        <v>R168=19.2% ~ 26.9%</v>
      </c>
      <c r="AO181" s="14"/>
      <c r="AP181" s="7"/>
      <c r="AQ181" s="1"/>
      <c r="AR181" s="1"/>
      <c r="AS181" s="32" t="str">
        <f>'D10'!U181</f>
        <v>R175=49.9% ~ 54.7%</v>
      </c>
      <c r="AT181" s="10" t="str">
        <f>'D10'!V181</f>
        <v>P(88)=0.028%</v>
      </c>
    </row>
    <row r="182" ht="6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7"/>
      <c r="AQ182" s="1"/>
      <c r="AR182" s="1"/>
      <c r="AS182" s="1"/>
      <c r="AT182" s="1"/>
    </row>
    <row r="183" ht="6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7"/>
      <c r="AQ183" s="1"/>
      <c r="AR183" s="1"/>
      <c r="AS183" s="8" t="str">
        <f>'D10'!U183</f>
        <v>10-61-熱煙或毒性氣體未危害至儲能空間以外</v>
      </c>
      <c r="AT183" s="10" t="s">
        <v>140</v>
      </c>
    </row>
    <row r="184" ht="6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7"/>
      <c r="AQ184" s="1"/>
      <c r="AR184" s="8" t="str">
        <f>'D10'!T184</f>
        <v>9-31-消防系統有效發揮冷卻作用</v>
      </c>
      <c r="AS184" s="13" t="str">
        <f>'D10'!U184</f>
        <v>R178=56.6% ~ 62.6%</v>
      </c>
      <c r="AT184" s="10" t="str">
        <f>'D10'!V184</f>
        <v>P(89)=0.050%</v>
      </c>
    </row>
    <row r="185" ht="6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7"/>
      <c r="AQ185" s="1"/>
      <c r="AR185" s="13" t="str">
        <f>'D10'!T185</f>
        <v>R177=53.7% ~ 59.4%</v>
      </c>
      <c r="AS185" s="26"/>
      <c r="AT185" s="1"/>
    </row>
    <row r="186" ht="6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7"/>
      <c r="AQ186" s="24"/>
      <c r="AR186" s="1"/>
      <c r="AS186" s="30" t="str">
        <f>'D10'!U186</f>
        <v>10-62-熱煙或毒性氣體危害至儲能空間以外</v>
      </c>
      <c r="AT186" s="10" t="s">
        <v>141</v>
      </c>
    </row>
    <row r="187" ht="6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30" t="str">
        <f>'D10'!R187</f>
        <v>8-16-可燃氣體濃度達到LFL</v>
      </c>
      <c r="AQ187" s="20"/>
      <c r="AR187" s="7"/>
      <c r="AS187" s="32" t="str">
        <f>'D10'!U187</f>
        <v>R179=37.4% ~ 43.4%</v>
      </c>
      <c r="AT187" s="10" t="str">
        <f>'D10'!V187</f>
        <v>P(90)=0.034%</v>
      </c>
    </row>
    <row r="188" ht="6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32" t="str">
        <f>'D10'!R188</f>
        <v>R176=72.8% ~ 75.4%</v>
      </c>
      <c r="AQ188" s="14"/>
      <c r="AR188" s="7"/>
      <c r="AS188" s="1"/>
      <c r="AT188" s="1"/>
    </row>
    <row r="189" ht="6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7"/>
      <c r="AS189" s="8" t="str">
        <f>'D10'!U189</f>
        <v>10-63-熱煙或毒性氣體未危害至儲能空間以外</v>
      </c>
      <c r="AT189" s="10" t="s">
        <v>142</v>
      </c>
    </row>
    <row r="190" ht="6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7"/>
      <c r="AS190" s="13" t="str">
        <f>'D10'!U190</f>
        <v>R181=45.3% ~ 50.1%</v>
      </c>
      <c r="AT190" s="10" t="str">
        <f>'D10'!V190</f>
        <v>P(91)=0.031%</v>
      </c>
    </row>
    <row r="191" ht="6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30" t="str">
        <f>'D10'!T191</f>
        <v>9-32-消防系統無法發揮冷卻作用</v>
      </c>
      <c r="AS191" s="26"/>
      <c r="AT191" s="1"/>
    </row>
    <row r="192" ht="6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32" t="str">
        <f>'D10'!T192</f>
        <v>R180=40.6% ~ 46.3%</v>
      </c>
      <c r="AS192" s="30" t="str">
        <f>'D10'!U192</f>
        <v>10-64-熱煙或毒性氣體危害至儲能空間以外</v>
      </c>
      <c r="AT192" s="10" t="s">
        <v>143</v>
      </c>
    </row>
    <row r="193" ht="6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32" t="str">
        <f>'D10'!U193</f>
        <v>R182=49.9% ~ 54.7%</v>
      </c>
      <c r="AT193" s="10" t="str">
        <f>'D10'!V193</f>
        <v>P(92)=0.034%</v>
      </c>
    </row>
    <row r="194" ht="6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ht="6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ht="6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ht="6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ht="6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ht="6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ht="6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ht="6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ht="6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ht="6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ht="6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ht="6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ht="6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ht="6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ht="6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ht="6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ht="6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ht="6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ht="6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ht="6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ht="6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ht="6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ht="6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ht="6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ht="6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ht="6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ht="6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ht="6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ht="6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ht="6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ht="6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ht="6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ht="6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ht="6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ht="6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ht="6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ht="6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ht="6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ht="6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ht="6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ht="6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ht="6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ht="6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ht="6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ht="6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ht="6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ht="6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ht="6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ht="6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ht="6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ht="6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ht="6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ht="6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ht="6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ht="6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ht="6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ht="6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ht="6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ht="6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ht="6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ht="6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ht="6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ht="6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ht="6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ht="6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ht="6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ht="6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ht="6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ht="6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ht="6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ht="6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ht="6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ht="6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ht="6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ht="6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ht="6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ht="6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ht="6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ht="6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ht="6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ht="6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ht="6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ht="6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ht="6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ht="6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ht="6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ht="6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ht="6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ht="6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ht="6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ht="6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ht="6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ht="6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ht="6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ht="6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ht="6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ht="6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ht="6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ht="6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ht="6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ht="6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ht="6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ht="6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ht="6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ht="6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ht="6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ht="6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ht="6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ht="6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ht="6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ht="6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ht="6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ht="6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ht="6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ht="6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ht="6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ht="6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ht="6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ht="6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ht="6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ht="6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ht="6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ht="6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ht="6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ht="6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ht="6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ht="6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ht="6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ht="6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ht="6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ht="6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ht="6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ht="6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ht="6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ht="6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ht="6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ht="6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ht="6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ht="6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ht="6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ht="6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ht="6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ht="6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ht="6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ht="6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ht="6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ht="6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ht="6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ht="6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ht="6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ht="6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ht="6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ht="6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ht="6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ht="6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ht="6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ht="6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ht="6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ht="6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ht="6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ht="6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ht="6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ht="6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ht="6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ht="6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ht="6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ht="6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ht="6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ht="6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ht="6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ht="6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ht="6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ht="6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ht="6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ht="6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ht="6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ht="6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ht="6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ht="6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ht="6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ht="6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ht="6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ht="6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ht="6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ht="6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ht="6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ht="6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ht="6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ht="6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ht="6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ht="6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ht="6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ht="6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ht="6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ht="6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ht="6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ht="6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ht="6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ht="6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ht="6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ht="6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ht="6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ht="6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ht="6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ht="6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ht="6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ht="6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ht="6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ht="6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ht="6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ht="6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ht="6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ht="6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ht="6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ht="6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ht="6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ht="6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ht="6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ht="6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ht="6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ht="6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ht="6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ht="6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ht="6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ht="6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ht="6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ht="6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ht="6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ht="6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ht="6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ht="6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ht="6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ht="6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ht="6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ht="6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ht="6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ht="6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ht="6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ht="6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ht="6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ht="6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ht="6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ht="6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ht="6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ht="6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ht="6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ht="6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ht="6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ht="6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ht="6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ht="6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ht="6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ht="6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ht="6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ht="6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ht="6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ht="6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ht="6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ht="6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ht="6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ht="6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ht="6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ht="6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ht="6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ht="6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ht="6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ht="6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ht="6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ht="6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ht="6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ht="6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ht="6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ht="6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ht="6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ht="6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ht="6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ht="6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ht="6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ht="6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ht="6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ht="6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ht="6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ht="6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ht="6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ht="6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ht="6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ht="6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ht="6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ht="6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ht="6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ht="6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ht="6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ht="6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ht="6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ht="6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ht="6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ht="6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ht="6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ht="6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ht="6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ht="6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ht="6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ht="6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ht="6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ht="6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ht="6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ht="6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ht="6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ht="6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ht="6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ht="6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ht="6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ht="6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ht="6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ht="6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ht="6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ht="6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ht="6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ht="6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ht="6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ht="6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ht="6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ht="6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ht="6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ht="6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ht="6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ht="6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ht="6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ht="6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ht="6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ht="6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ht="6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ht="6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ht="6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ht="6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ht="6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ht="6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ht="6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ht="6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ht="6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ht="6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ht="6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ht="6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ht="6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ht="6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ht="6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ht="6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ht="6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ht="6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ht="6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ht="6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ht="6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ht="6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ht="6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ht="6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ht="6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ht="6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ht="6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ht="6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ht="6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ht="6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ht="6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ht="6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ht="6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ht="6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ht="6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ht="6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ht="6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ht="6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ht="6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ht="6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ht="6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ht="6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ht="6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ht="6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ht="6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ht="6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ht="6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ht="6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ht="6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ht="6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ht="6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ht="6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ht="6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ht="6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ht="6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ht="6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ht="6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ht="6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ht="6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ht="6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ht="6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ht="6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ht="6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ht="6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ht="6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ht="6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ht="6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ht="6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ht="6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ht="6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ht="6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ht="6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ht="6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ht="6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ht="6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ht="6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ht="6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ht="6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ht="6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ht="6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ht="6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ht="6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ht="6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ht="6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ht="6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ht="6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ht="6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ht="6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ht="6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ht="6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ht="6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ht="6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ht="6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ht="6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ht="6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ht="6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ht="6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ht="6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ht="6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ht="6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ht="6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ht="6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ht="6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ht="6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ht="6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ht="6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ht="6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ht="6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ht="6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ht="6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ht="6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ht="6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ht="6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ht="6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ht="6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ht="6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ht="6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ht="6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ht="6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ht="6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ht="6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ht="6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ht="6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ht="6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ht="6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ht="6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ht="6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ht="6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ht="6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ht="6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ht="6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ht="6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ht="6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ht="6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ht="6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ht="6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ht="6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ht="6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ht="6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ht="6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ht="6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ht="6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ht="6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ht="6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ht="6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ht="6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ht="6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ht="6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ht="6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ht="6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ht="6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ht="6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ht="6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ht="6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ht="6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ht="6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ht="6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ht="6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ht="6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ht="6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ht="6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ht="6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ht="6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ht="6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ht="6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ht="6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ht="6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ht="6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ht="6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ht="6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ht="6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ht="6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ht="6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ht="6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ht="6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ht="6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ht="6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ht="6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ht="6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ht="6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ht="6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ht="6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ht="6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ht="6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ht="6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ht="6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ht="6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ht="6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ht="6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ht="6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ht="6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ht="6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ht="6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ht="6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ht="6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ht="6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ht="6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ht="6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ht="6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ht="6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ht="6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ht="6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ht="6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ht="6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ht="6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ht="6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ht="6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ht="6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ht="6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ht="6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ht="6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ht="6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ht="6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ht="6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ht="6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ht="6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ht="6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ht="6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ht="6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ht="6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ht="6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ht="6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ht="6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ht="6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ht="6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ht="6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ht="6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ht="6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ht="6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ht="6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ht="6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ht="6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ht="6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ht="6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ht="6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ht="6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ht="6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ht="6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ht="6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ht="6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ht="6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ht="6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ht="6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ht="6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ht="6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ht="6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ht="6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ht="6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ht="6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ht="6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ht="6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ht="6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ht="6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ht="6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ht="6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ht="6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ht="6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ht="6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ht="6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</row>
    <row r="784" ht="6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</row>
    <row r="785" ht="6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</row>
    <row r="786" ht="6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</row>
    <row r="787" ht="6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</row>
    <row r="788" ht="6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</row>
    <row r="789" ht="6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</row>
    <row r="790" ht="6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</row>
    <row r="791" ht="6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</row>
    <row r="792" ht="6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</row>
    <row r="793" ht="6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</row>
    <row r="794" ht="6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</row>
    <row r="795" ht="6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</row>
    <row r="796" ht="6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</row>
    <row r="797" ht="6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</row>
    <row r="798" ht="6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</row>
    <row r="799" ht="6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</row>
    <row r="800" ht="6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</row>
    <row r="801" ht="6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</row>
    <row r="802" ht="6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</row>
    <row r="803" ht="6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</row>
    <row r="804" ht="6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</row>
    <row r="805" ht="6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</row>
    <row r="806" ht="6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</row>
    <row r="807" ht="6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</row>
    <row r="808" ht="6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ht="6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  <row r="810" ht="6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</row>
    <row r="811" ht="6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</row>
    <row r="812" ht="6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</row>
    <row r="813" ht="6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</row>
    <row r="814" ht="6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</row>
    <row r="815" ht="6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</row>
    <row r="816" ht="6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</row>
    <row r="817" ht="6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</row>
    <row r="818" ht="6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</row>
    <row r="819" ht="6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</row>
    <row r="820" ht="6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</row>
    <row r="821" ht="6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</row>
    <row r="822" ht="6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</row>
    <row r="823" ht="6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</row>
    <row r="824" ht="6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</row>
    <row r="825" ht="6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</row>
    <row r="826" ht="6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</row>
    <row r="827" ht="6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</row>
    <row r="828" ht="6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</row>
    <row r="829" ht="6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</row>
    <row r="830" ht="6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</row>
    <row r="831" ht="6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</row>
    <row r="832" ht="6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</row>
    <row r="833" ht="6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</row>
    <row r="834" ht="6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</row>
    <row r="835" ht="6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</row>
    <row r="836" ht="6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</row>
    <row r="837" ht="6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</row>
    <row r="838" ht="6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</row>
    <row r="839" ht="6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</row>
    <row r="840" ht="6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</row>
    <row r="841" ht="6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</row>
    <row r="842" ht="6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</row>
    <row r="843" ht="6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</row>
    <row r="844" ht="6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</row>
    <row r="845" ht="6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</row>
    <row r="846" ht="6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</row>
    <row r="847" ht="6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</row>
    <row r="848" ht="6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</row>
    <row r="849" ht="6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</row>
    <row r="850" ht="6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</row>
    <row r="851" ht="6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</row>
    <row r="852" ht="6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</row>
    <row r="853" ht="6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</row>
    <row r="854" ht="6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</row>
    <row r="855" ht="6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</row>
    <row r="856" ht="6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</row>
    <row r="857" ht="6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</row>
    <row r="858" ht="6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</row>
    <row r="859" ht="6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</row>
    <row r="860" ht="6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</row>
    <row r="861" ht="6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</row>
    <row r="862" ht="6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</row>
    <row r="863" ht="6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</row>
    <row r="864" ht="6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</row>
    <row r="865" ht="6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</row>
    <row r="866" ht="6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</row>
    <row r="867" ht="6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</row>
    <row r="868" ht="6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</row>
    <row r="869" ht="6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</row>
    <row r="870" ht="6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</row>
    <row r="871" ht="6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</row>
    <row r="872" ht="6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</row>
    <row r="873" ht="6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</row>
    <row r="874" ht="6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</row>
    <row r="875" ht="6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</row>
    <row r="876" ht="6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</row>
    <row r="877" ht="6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</row>
    <row r="878" ht="6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</row>
    <row r="879" ht="6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</row>
    <row r="880" ht="6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</row>
    <row r="881" ht="6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</row>
    <row r="882" ht="6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</row>
    <row r="883" ht="6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</row>
    <row r="884" ht="6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</row>
    <row r="885" ht="6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</row>
    <row r="886" ht="6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</row>
    <row r="887" ht="6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</row>
    <row r="888" ht="6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</row>
    <row r="889" ht="6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</row>
    <row r="890" ht="6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</row>
    <row r="891" ht="6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</row>
    <row r="892" ht="6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</row>
    <row r="893" ht="6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</row>
    <row r="894" ht="6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</row>
    <row r="895" ht="6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</row>
    <row r="896" ht="6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</row>
    <row r="897" ht="6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</row>
    <row r="898" ht="6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</row>
    <row r="899" ht="6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</row>
    <row r="900" ht="6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</row>
    <row r="901" ht="6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</row>
    <row r="902" ht="6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</row>
    <row r="903" ht="6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</row>
    <row r="904" ht="6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</row>
    <row r="905" ht="6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</row>
    <row r="906" ht="6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</row>
    <row r="907" ht="6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</row>
    <row r="908" ht="6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</row>
    <row r="909" ht="6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</row>
    <row r="910" ht="6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</row>
    <row r="911" ht="6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</row>
    <row r="912" ht="6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</row>
    <row r="913" ht="6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</row>
    <row r="914" ht="6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</row>
    <row r="915" ht="6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</row>
    <row r="916" ht="6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</row>
    <row r="917" ht="6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</row>
    <row r="918" ht="6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ht="6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</row>
    <row r="920" ht="6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ht="6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</row>
    <row r="922" ht="6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ht="6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ht="6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ht="6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</row>
    <row r="926" ht="6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ht="6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ht="6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</row>
    <row r="929" ht="6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</row>
    <row r="930" ht="6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</row>
    <row r="931" ht="6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</row>
    <row r="932" ht="6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</row>
    <row r="933" ht="6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</row>
    <row r="934" ht="6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</row>
    <row r="935" ht="6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</row>
    <row r="936" ht="6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</row>
    <row r="937" ht="6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</row>
    <row r="938" ht="6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</row>
    <row r="939" ht="6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</row>
    <row r="940" ht="6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</row>
    <row r="941" ht="6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</row>
    <row r="942" ht="6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</row>
    <row r="943" ht="6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</row>
    <row r="944" ht="6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</row>
    <row r="945" ht="6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</row>
    <row r="946" ht="6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</row>
    <row r="947" ht="6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</row>
    <row r="948" ht="6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</row>
    <row r="949" ht="6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</row>
    <row r="950" ht="6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</row>
    <row r="951" ht="6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</row>
    <row r="952" ht="6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</row>
    <row r="953" ht="6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</row>
    <row r="954" ht="6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</row>
    <row r="955" ht="6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</row>
    <row r="956" ht="6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</row>
    <row r="957" ht="6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</row>
    <row r="958" ht="6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</row>
    <row r="959" ht="6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</row>
    <row r="960" ht="6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</row>
    <row r="961" ht="6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</row>
    <row r="962" ht="6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</row>
    <row r="963" ht="6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</row>
    <row r="964" ht="6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</row>
    <row r="965" ht="6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</row>
    <row r="966" ht="6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</row>
    <row r="967" ht="6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</row>
    <row r="968" ht="6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</row>
    <row r="969" ht="6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</row>
    <row r="970" ht="6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</row>
    <row r="971" ht="6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</row>
    <row r="972" ht="6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</row>
    <row r="973" ht="6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</row>
    <row r="974" ht="6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</row>
    <row r="975" ht="6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</row>
    <row r="976" ht="6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</row>
    <row r="977" ht="6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</row>
    <row r="978" ht="6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</row>
    <row r="979" ht="6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</row>
    <row r="980" ht="6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</row>
    <row r="981" ht="6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</row>
    <row r="982" ht="6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</row>
    <row r="983" ht="6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</row>
    <row r="984" ht="6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</row>
    <row r="985" ht="6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</row>
    <row r="986" ht="6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</row>
    <row r="987" ht="6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</row>
    <row r="988" ht="6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</row>
    <row r="989" ht="6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</row>
    <row r="990" ht="6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</row>
    <row r="991" ht="6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</row>
    <row r="992" ht="6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</row>
    <row r="993" ht="6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</row>
    <row r="994" ht="6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</row>
    <row r="995" ht="6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</row>
    <row r="996" ht="6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</row>
    <row r="997" ht="6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</row>
    <row r="998" ht="6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</row>
    <row r="999" ht="6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</row>
    <row r="1000" ht="6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</row>
  </sheetData>
  <mergeCells count="288">
    <mergeCell ref="E91:E92"/>
    <mergeCell ref="E93:E94"/>
    <mergeCell ref="A77:A78"/>
    <mergeCell ref="A79:A80"/>
    <mergeCell ref="E84:E85"/>
    <mergeCell ref="F84:F87"/>
    <mergeCell ref="E86:E87"/>
    <mergeCell ref="I88:I92"/>
    <mergeCell ref="F91:F94"/>
    <mergeCell ref="B32:B35"/>
    <mergeCell ref="A34:A35"/>
    <mergeCell ref="D34:D38"/>
    <mergeCell ref="E34:E35"/>
    <mergeCell ref="F34:F37"/>
    <mergeCell ref="E36:E37"/>
    <mergeCell ref="B37:B40"/>
    <mergeCell ref="D44:D48"/>
    <mergeCell ref="F44:F47"/>
    <mergeCell ref="E46:E47"/>
    <mergeCell ref="A47:A48"/>
    <mergeCell ref="I48:I52"/>
    <mergeCell ref="A49:A50"/>
    <mergeCell ref="A52:A53"/>
    <mergeCell ref="B47:B50"/>
    <mergeCell ref="A54:A55"/>
    <mergeCell ref="D54:D58"/>
    <mergeCell ref="E54:E55"/>
    <mergeCell ref="F54:F57"/>
    <mergeCell ref="E56:E57"/>
    <mergeCell ref="A57:A58"/>
    <mergeCell ref="E64:E65"/>
    <mergeCell ref="F64:F67"/>
    <mergeCell ref="E66:E67"/>
    <mergeCell ref="I68:I72"/>
    <mergeCell ref="B62:B65"/>
    <mergeCell ref="B67:B70"/>
    <mergeCell ref="B72:B75"/>
    <mergeCell ref="B77:B80"/>
    <mergeCell ref="B52:B55"/>
    <mergeCell ref="B57:B60"/>
    <mergeCell ref="A59:A60"/>
    <mergeCell ref="A62:A63"/>
    <mergeCell ref="A64:A65"/>
    <mergeCell ref="D64:D68"/>
    <mergeCell ref="A67:A68"/>
    <mergeCell ref="A69:A70"/>
    <mergeCell ref="A72:A73"/>
    <mergeCell ref="A74:A75"/>
    <mergeCell ref="D74:D78"/>
    <mergeCell ref="E74:E75"/>
    <mergeCell ref="F74:F77"/>
    <mergeCell ref="E76:E77"/>
    <mergeCell ref="AB126:AC126"/>
    <mergeCell ref="AB127:AC127"/>
    <mergeCell ref="AP127:AQ127"/>
    <mergeCell ref="AL128:AM128"/>
    <mergeCell ref="AL129:AM129"/>
    <mergeCell ref="AN132:AO132"/>
    <mergeCell ref="AN133:AO133"/>
    <mergeCell ref="AP128:AQ128"/>
    <mergeCell ref="AP139:AQ139"/>
    <mergeCell ref="AP140:AQ140"/>
    <mergeCell ref="AF145:AG145"/>
    <mergeCell ref="AJ145:AK145"/>
    <mergeCell ref="AF146:AG146"/>
    <mergeCell ref="AJ146:AK146"/>
    <mergeCell ref="AJ150:AK150"/>
    <mergeCell ref="AD151:AE151"/>
    <mergeCell ref="AP151:AQ151"/>
    <mergeCell ref="AD152:AE152"/>
    <mergeCell ref="AL152:AM152"/>
    <mergeCell ref="AP152:AQ152"/>
    <mergeCell ref="AL153:AM153"/>
    <mergeCell ref="AH147:AI147"/>
    <mergeCell ref="AL147:AM147"/>
    <mergeCell ref="AH148:AI148"/>
    <mergeCell ref="AL148:AM148"/>
    <mergeCell ref="AJ149:AK149"/>
    <mergeCell ref="AN149:AO149"/>
    <mergeCell ref="AN150:AO150"/>
    <mergeCell ref="AN173:AO173"/>
    <mergeCell ref="AN174:AO174"/>
    <mergeCell ref="AP175:AQ175"/>
    <mergeCell ref="AP176:AQ176"/>
    <mergeCell ref="AP187:AQ187"/>
    <mergeCell ref="AP188:AQ188"/>
    <mergeCell ref="AL176:AM176"/>
    <mergeCell ref="AL177:AM177"/>
    <mergeCell ref="AN180:AO180"/>
    <mergeCell ref="AN181:AO181"/>
    <mergeCell ref="AJ170:AK170"/>
    <mergeCell ref="AH171:AI171"/>
    <mergeCell ref="AL171:AM171"/>
    <mergeCell ref="AH172:AI172"/>
    <mergeCell ref="AL172:AM172"/>
    <mergeCell ref="AJ173:AK173"/>
    <mergeCell ref="AJ174:AK174"/>
    <mergeCell ref="AL75:AM75"/>
    <mergeCell ref="AH76:AI76"/>
    <mergeCell ref="AL76:AM76"/>
    <mergeCell ref="AH77:AI77"/>
    <mergeCell ref="AN77:AO77"/>
    <mergeCell ref="AJ78:AK78"/>
    <mergeCell ref="AN78:AO78"/>
    <mergeCell ref="AJ79:AK79"/>
    <mergeCell ref="AP79:AQ79"/>
    <mergeCell ref="AP80:AQ80"/>
    <mergeCell ref="AL81:AM81"/>
    <mergeCell ref="AL82:AM82"/>
    <mergeCell ref="AN85:AO85"/>
    <mergeCell ref="AN86:AO86"/>
    <mergeCell ref="AP91:AQ91"/>
    <mergeCell ref="AP92:AQ92"/>
    <mergeCell ref="AF97:AG97"/>
    <mergeCell ref="AJ97:AK97"/>
    <mergeCell ref="AF98:AG98"/>
    <mergeCell ref="AJ98:AK98"/>
    <mergeCell ref="AL99:AM99"/>
    <mergeCell ref="AD104:AE104"/>
    <mergeCell ref="AL104:AM104"/>
    <mergeCell ref="AP104:AQ104"/>
    <mergeCell ref="AL105:AM105"/>
    <mergeCell ref="AF110:AG110"/>
    <mergeCell ref="AF111:AG111"/>
    <mergeCell ref="AH99:AI99"/>
    <mergeCell ref="AH100:AI100"/>
    <mergeCell ref="AL100:AM100"/>
    <mergeCell ref="AJ101:AK101"/>
    <mergeCell ref="AN101:AO101"/>
    <mergeCell ref="AJ102:AK102"/>
    <mergeCell ref="AD103:AE103"/>
    <mergeCell ref="AN102:AO102"/>
    <mergeCell ref="AP103:AQ103"/>
    <mergeCell ref="AN108:AO108"/>
    <mergeCell ref="AN109:AO109"/>
    <mergeCell ref="AP115:AQ115"/>
    <mergeCell ref="AP116:AQ116"/>
    <mergeCell ref="AJ121:AK121"/>
    <mergeCell ref="AN157:AO157"/>
    <mergeCell ref="AF158:AG158"/>
    <mergeCell ref="AN158:AO158"/>
    <mergeCell ref="AF159:AG159"/>
    <mergeCell ref="AP163:AQ163"/>
    <mergeCell ref="AP164:AQ164"/>
    <mergeCell ref="AJ169:AK169"/>
    <mergeCell ref="AD9:AE9"/>
    <mergeCell ref="AL9:AM9"/>
    <mergeCell ref="AP9:AQ9"/>
    <mergeCell ref="AL10:AM10"/>
    <mergeCell ref="AF15:AG15"/>
    <mergeCell ref="AN15:AO15"/>
    <mergeCell ref="AF16:AG16"/>
    <mergeCell ref="AN7:AO7"/>
    <mergeCell ref="AP8:AQ8"/>
    <mergeCell ref="AN14:AO14"/>
    <mergeCell ref="AP20:AQ20"/>
    <mergeCell ref="AP21:AQ21"/>
    <mergeCell ref="AJ25:AK25"/>
    <mergeCell ref="AJ26:AK26"/>
    <mergeCell ref="AN30:AO30"/>
    <mergeCell ref="AP31:AQ31"/>
    <mergeCell ref="AP32:AQ32"/>
    <mergeCell ref="AH27:AI27"/>
    <mergeCell ref="AL27:AM27"/>
    <mergeCell ref="AH28:AI28"/>
    <mergeCell ref="AL28:AM28"/>
    <mergeCell ref="AJ29:AK29"/>
    <mergeCell ref="AN29:AO29"/>
    <mergeCell ref="AJ30:AK30"/>
    <mergeCell ref="AN36:AO36"/>
    <mergeCell ref="AN37:AO37"/>
    <mergeCell ref="A27:A28"/>
    <mergeCell ref="A29:A30"/>
    <mergeCell ref="A32:A33"/>
    <mergeCell ref="AB32:AC32"/>
    <mergeCell ref="AL32:AM32"/>
    <mergeCell ref="AB33:AC33"/>
    <mergeCell ref="AL33:AM33"/>
    <mergeCell ref="A2:A3"/>
    <mergeCell ref="B2:B5"/>
    <mergeCell ref="AF2:AG2"/>
    <mergeCell ref="AJ2:AK2"/>
    <mergeCell ref="AF3:AG3"/>
    <mergeCell ref="AJ3:AK3"/>
    <mergeCell ref="A4:A5"/>
    <mergeCell ref="AH5:AI5"/>
    <mergeCell ref="E1:E2"/>
    <mergeCell ref="D4:D8"/>
    <mergeCell ref="E4:E5"/>
    <mergeCell ref="F4:F7"/>
    <mergeCell ref="E6:E7"/>
    <mergeCell ref="B7:B10"/>
    <mergeCell ref="I8:I12"/>
    <mergeCell ref="AH4:AI4"/>
    <mergeCell ref="AL4:AM4"/>
    <mergeCell ref="AL5:AM5"/>
    <mergeCell ref="AJ6:AK6"/>
    <mergeCell ref="AN6:AO6"/>
    <mergeCell ref="AJ7:AK7"/>
    <mergeCell ref="AD8:AE8"/>
    <mergeCell ref="E14:E15"/>
    <mergeCell ref="E16:E17"/>
    <mergeCell ref="D24:D28"/>
    <mergeCell ref="E24:E25"/>
    <mergeCell ref="F24:F27"/>
    <mergeCell ref="E26:E27"/>
    <mergeCell ref="I28:I32"/>
    <mergeCell ref="A7:A8"/>
    <mergeCell ref="A9:A10"/>
    <mergeCell ref="A12:A13"/>
    <mergeCell ref="A14:A15"/>
    <mergeCell ref="D14:D18"/>
    <mergeCell ref="F14:F17"/>
    <mergeCell ref="A17:A18"/>
    <mergeCell ref="B12:B15"/>
    <mergeCell ref="B17:B20"/>
    <mergeCell ref="A19:A20"/>
    <mergeCell ref="A22:A23"/>
    <mergeCell ref="B22:B25"/>
    <mergeCell ref="A24:A25"/>
    <mergeCell ref="B27:B30"/>
    <mergeCell ref="A37:A38"/>
    <mergeCell ref="A39:A40"/>
    <mergeCell ref="A42:A43"/>
    <mergeCell ref="B42:B45"/>
    <mergeCell ref="AP43:AQ43"/>
    <mergeCell ref="A44:A45"/>
    <mergeCell ref="E44:E45"/>
    <mergeCell ref="R60:R63"/>
    <mergeCell ref="R65:R68"/>
    <mergeCell ref="Q67:Q68"/>
    <mergeCell ref="R70:R73"/>
    <mergeCell ref="Q72:Q73"/>
    <mergeCell ref="Q65:Q66"/>
    <mergeCell ref="Q70:Q71"/>
    <mergeCell ref="Q56:Q57"/>
    <mergeCell ref="O57:O61"/>
    <mergeCell ref="T57:T61"/>
    <mergeCell ref="Q58:Q59"/>
    <mergeCell ref="Q60:Q61"/>
    <mergeCell ref="Q62:Q63"/>
    <mergeCell ref="T67:T71"/>
    <mergeCell ref="AN53:AO53"/>
    <mergeCell ref="AN54:AO54"/>
    <mergeCell ref="AP55:AQ55"/>
    <mergeCell ref="AP56:AQ56"/>
    <mergeCell ref="AN61:AO61"/>
    <mergeCell ref="AN62:AO62"/>
    <mergeCell ref="AP67:AQ67"/>
    <mergeCell ref="AP68:AQ68"/>
    <mergeCell ref="AP44:AQ44"/>
    <mergeCell ref="AF49:AG49"/>
    <mergeCell ref="AJ49:AK49"/>
    <mergeCell ref="AF50:AG50"/>
    <mergeCell ref="AJ50:AK50"/>
    <mergeCell ref="AL51:AM51"/>
    <mergeCell ref="AL52:AM52"/>
    <mergeCell ref="Y54:Z55"/>
    <mergeCell ref="Y56:Z62"/>
    <mergeCell ref="Y63:Y64"/>
    <mergeCell ref="Z63:Z64"/>
    <mergeCell ref="AH52:AI52"/>
    <mergeCell ref="AH53:AI53"/>
    <mergeCell ref="AJ54:AK54"/>
    <mergeCell ref="R55:R58"/>
    <mergeCell ref="V55:V57"/>
    <mergeCell ref="AJ55:AK55"/>
    <mergeCell ref="AD56:AE56"/>
    <mergeCell ref="V58:V59"/>
    <mergeCell ref="V60:V61"/>
    <mergeCell ref="W57:W61"/>
    <mergeCell ref="V62:V63"/>
    <mergeCell ref="AD57:AE57"/>
    <mergeCell ref="AL57:AM57"/>
    <mergeCell ref="AL58:AM58"/>
    <mergeCell ref="AF63:AG63"/>
    <mergeCell ref="AF64:AG64"/>
    <mergeCell ref="AJ73:AK73"/>
    <mergeCell ref="AJ74:AK74"/>
    <mergeCell ref="AJ125:AK125"/>
    <mergeCell ref="AJ126:AK126"/>
    <mergeCell ref="AJ122:AK122"/>
    <mergeCell ref="AH123:AI123"/>
    <mergeCell ref="AL123:AM123"/>
    <mergeCell ref="AH124:AI124"/>
    <mergeCell ref="AL124:AM124"/>
    <mergeCell ref="AN125:AO125"/>
    <mergeCell ref="AN126:AO126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  <col customWidth="1" min="19" max="19" width="8.11"/>
    <col customWidth="1" min="20" max="20" width="12.22"/>
  </cols>
  <sheetData>
    <row r="1" ht="6.75" customHeight="1">
      <c r="A1" s="1"/>
      <c r="B1" s="1"/>
      <c r="C1" s="1" t="str">
        <f>IFERROR(__xludf.DUMMYFUNCTION("IMPORTRANGE(""https://docs.google.com/spreadsheets/d/1t5p1V1vn1beMzhwo3tAXD9To3NcoZvCvL1iNSOWlfw0/edit?gid=820687370#gid=820687370"",""'數值'!C1:T48"")"),"")</f>
        <v/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  <c r="Q2" s="1"/>
      <c r="R2" s="1"/>
      <c r="S2" s="1"/>
      <c r="T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IFERROR(__xludf.DUMMYFUNCTION("""COMPUTED_VALUE"""),"R006=61.1% ~ 67.5%")</f>
        <v>R006=61.1% ~ 67.5%</v>
      </c>
      <c r="M3" s="15"/>
      <c r="N3" s="10" t="str">
        <f>IFERROR(__xludf.DUMMYFUNCTION("""COMPUTED_VALUE"""),"P(02)=1.570%")</f>
        <v>P(02)=1.570%</v>
      </c>
      <c r="O3" s="1"/>
      <c r="P3" s="1"/>
      <c r="Q3" s="1"/>
      <c r="R3" s="1"/>
      <c r="S3" s="1"/>
      <c r="T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IFERROR(__xludf.DUMMYFUNCTION("""COMPUTED_VALUE"""),"Impact 03")</f>
        <v>Impact 03</v>
      </c>
      <c r="Q4" s="1"/>
      <c r="R4" s="1"/>
      <c r="S4" s="1"/>
      <c r="T4" s="1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IFERROR(__xludf.DUMMYFUNCTION("""COMPUTED_VALUE"""),"R005=25.0% ~ 27.6%")</f>
        <v>R005=25.0% ~ 27.6%</v>
      </c>
      <c r="K5" s="14"/>
      <c r="L5" s="7"/>
      <c r="M5" s="1"/>
      <c r="N5" s="13" t="str">
        <f>IFERROR(__xludf.DUMMYFUNCTION("""COMPUTED_VALUE"""),"R008=70.0% ~ 77.3%")</f>
        <v>R008=70.0% ~ 77.3%</v>
      </c>
      <c r="O5" s="15"/>
      <c r="P5" s="10" t="str">
        <f>IFERROR(__xludf.DUMMYFUNCTION("""COMPUTED_VALUE"""),"P(03)=0.647%")</f>
        <v>P(03)=0.647%</v>
      </c>
      <c r="Q5" s="1"/>
      <c r="R5" s="1"/>
      <c r="S5" s="1"/>
      <c r="T5" s="8" t="str">
        <f>IFERROR(__xludf.DUMMYFUNCTION("""COMPUTED_VALUE"""),"9-1-消防系統有效發揮冷卻作用")</f>
        <v>9-1-消防系統有效發揮冷卻作用</v>
      </c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8" t="str">
        <f>IFERROR(__xludf.DUMMYFUNCTION("""COMPUTED_VALUE"""),"7-1-未發生電池櫃熱失控傳播現象")</f>
        <v>7-1-未發生電池櫃熱失控傳播現象</v>
      </c>
      <c r="Q6" s="9"/>
      <c r="R6" s="10" t="str">
        <f>IFERROR(__xludf.DUMMYFUNCTION("""COMPUTED_VALUE"""),"Impact 04")</f>
        <v>Impact 04</v>
      </c>
      <c r="S6" s="1"/>
      <c r="T6" s="13" t="str">
        <f>IFERROR(__xludf.DUMMYFUNCTION("""COMPUTED_VALUE"""),"R013=63.2% ~ 69.9%")</f>
        <v>R013=63.2% ~ 69.9%</v>
      </c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IFERROR(__xludf.DUMMYFUNCTION("""COMPUTED_VALUE"""),"R007=32.5% ~ 38.9%")</f>
        <v>R007=32.5% ~ 38.9%</v>
      </c>
      <c r="M7" s="14"/>
      <c r="N7" s="7"/>
      <c r="O7" s="1"/>
      <c r="P7" s="13" t="str">
        <f>IFERROR(__xludf.DUMMYFUNCTION("""COMPUTED_VALUE"""),"R010=73.1% ~ 80.8%")</f>
        <v>R010=73.1% ~ 80.8%</v>
      </c>
      <c r="Q7" s="15"/>
      <c r="R7" s="10" t="str">
        <f>IFERROR(__xludf.DUMMYFUNCTION("""COMPUTED_VALUE"""),"P(04)=0.178%")</f>
        <v>P(04)=0.178%</v>
      </c>
      <c r="S7" s="1"/>
      <c r="T7" s="7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7"/>
      <c r="Q8" s="1"/>
      <c r="R8" s="8" t="str">
        <f>IFERROR(__xludf.DUMMYFUNCTION("""COMPUTED_VALUE"""),"8-1-可燃氣體濃度未達到LFL")</f>
        <v>8-1-可燃氣體濃度未達到LFL</v>
      </c>
      <c r="S8" s="20"/>
      <c r="T8" s="7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20"/>
      <c r="P9" s="7"/>
      <c r="Q9" s="1"/>
      <c r="R9" s="13" t="str">
        <f>IFERROR(__xludf.DUMMYFUNCTION("""COMPUTED_VALUE"""),"R012=49.2% ~ 54.4%")</f>
        <v>R012=49.2% ~ 54.4%</v>
      </c>
      <c r="S9" s="14"/>
      <c r="T9" s="7"/>
    </row>
    <row r="10" ht="6.75" customHeight="1">
      <c r="A10" s="1"/>
      <c r="B10" s="1"/>
      <c r="C10" s="1"/>
      <c r="D10" s="1"/>
      <c r="E10" s="1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IFERROR(__xludf.DUMMYFUNCTION("""COMPUTED_VALUE"""),"R009=22.7% ~ 30.0%")</f>
        <v>R009=22.7% ~ 30.0%</v>
      </c>
      <c r="O10" s="14"/>
      <c r="P10" s="7"/>
      <c r="Q10" s="1"/>
      <c r="R10" s="7"/>
      <c r="S10" s="1"/>
      <c r="T10" s="7"/>
    </row>
    <row r="11" ht="6.75" customHeight="1">
      <c r="A11" s="1"/>
      <c r="B11" s="1"/>
      <c r="C11" s="1"/>
      <c r="D11" s="1"/>
      <c r="E11" s="1"/>
      <c r="F11" s="7"/>
      <c r="G11" s="1"/>
      <c r="H11" s="7"/>
      <c r="I11" s="24"/>
      <c r="J11" s="1"/>
      <c r="K11" s="1"/>
      <c r="L11" s="1"/>
      <c r="M11" s="1"/>
      <c r="N11" s="1"/>
      <c r="O11" s="1"/>
      <c r="P11" s="7"/>
      <c r="Q11" s="1"/>
      <c r="R11" s="7"/>
      <c r="S11" s="1"/>
      <c r="T11" s="30" t="str">
        <f>IFERROR(__xludf.DUMMYFUNCTION("""COMPUTED_VALUE"""),"9-2-消防系統無法發揮冷卻作用")</f>
        <v>9-2-消防系統無法發揮冷卻作用</v>
      </c>
    </row>
    <row r="12" ht="6.75" customHeight="1">
      <c r="A12" s="1"/>
      <c r="B12" s="1"/>
      <c r="C12" s="1"/>
      <c r="D12" s="1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7"/>
      <c r="Q12" s="1"/>
      <c r="R12" s="7"/>
      <c r="S12" s="1"/>
      <c r="T12" s="32" t="str">
        <f>IFERROR(__xludf.DUMMYFUNCTION("""COMPUTED_VALUE"""),"R016=30.1% ~ 36.8%")</f>
        <v>R016=30.1% ~ 36.8%</v>
      </c>
    </row>
    <row r="13" ht="6.75" customHeight="1">
      <c r="A13" s="1"/>
      <c r="B13" s="1"/>
      <c r="C13" s="1"/>
      <c r="D13" s="1"/>
      <c r="E13" s="1"/>
      <c r="F13" s="40"/>
      <c r="G13" s="1"/>
      <c r="H13" s="7"/>
      <c r="I13" s="24"/>
      <c r="J13" s="1"/>
      <c r="K13" s="1"/>
      <c r="L13" s="1"/>
      <c r="M13" s="1"/>
      <c r="N13" s="1"/>
      <c r="O13" s="24"/>
      <c r="P13" s="1"/>
      <c r="Q13" s="1"/>
      <c r="R13" s="7"/>
      <c r="S13" s="1"/>
      <c r="T13" s="1"/>
    </row>
    <row r="14" ht="6.75" customHeight="1">
      <c r="A14" s="1"/>
      <c r="B14" s="1"/>
      <c r="C14" s="1"/>
      <c r="D14" s="1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30" t="str">
        <f>IFERROR(__xludf.DUMMYFUNCTION("""COMPUTED_VALUE"""),"7-2-發生電池櫃熱失控傳播現象")</f>
        <v>7-2-發生電池櫃熱失控傳播現象</v>
      </c>
      <c r="Q14" s="20"/>
      <c r="R14" s="7"/>
      <c r="S14" s="1"/>
      <c r="T14" s="1"/>
    </row>
    <row r="15" ht="6.75" customHeight="1">
      <c r="A15" s="1"/>
      <c r="B15" s="1"/>
      <c r="C15" s="1"/>
      <c r="D15" s="1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32" t="str">
        <f>IFERROR(__xludf.DUMMYFUNCTION("""COMPUTED_VALUE"""),"R011=19.2% ~ 26.9%")</f>
        <v>R011=19.2% ~ 26.9%</v>
      </c>
      <c r="Q15" s="14"/>
      <c r="R15" s="7"/>
      <c r="S15" s="1"/>
      <c r="T15" s="1"/>
    </row>
    <row r="16" ht="6.75" customHeight="1">
      <c r="A16" s="1"/>
      <c r="B16" s="1"/>
      <c r="C16" s="1"/>
      <c r="D16" s="1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  <c r="Q16" s="1"/>
      <c r="R16" s="7"/>
      <c r="S16" s="1"/>
      <c r="T16" s="1"/>
    </row>
    <row r="17" ht="6.75" customHeight="1">
      <c r="A17" s="1"/>
      <c r="B17" s="1"/>
      <c r="C17" s="1"/>
      <c r="D17" s="1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  <c r="Q17" s="1"/>
      <c r="R17" s="7"/>
      <c r="S17" s="1"/>
      <c r="T17" s="8" t="str">
        <f>IFERROR(__xludf.DUMMYFUNCTION("""COMPUTED_VALUE"""),"9-3-消防系統有效發揮冷卻作用")</f>
        <v>9-3-消防系統有效發揮冷卻作用</v>
      </c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  <c r="Q18" s="1"/>
      <c r="R18" s="7"/>
      <c r="S18" s="1"/>
      <c r="T18" s="13" t="str">
        <f>IFERROR(__xludf.DUMMYFUNCTION("""COMPUTED_VALUE"""),"R020=53.7% ~ 59.4%")</f>
        <v>R020=53.7% ~ 59.4%</v>
      </c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  <c r="Q19" s="24"/>
      <c r="R19" s="1"/>
      <c r="S19" s="1"/>
      <c r="T19" s="7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  <c r="Q20" s="1"/>
      <c r="R20" s="30" t="str">
        <f>IFERROR(__xludf.DUMMYFUNCTION("""COMPUTED_VALUE"""),"8-2-可燃氣體濃度達到LFL")</f>
        <v>8-2-可燃氣體濃度達到LFL</v>
      </c>
      <c r="S20" s="20"/>
      <c r="T20" s="7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  <c r="Q21" s="1"/>
      <c r="R21" s="32" t="str">
        <f>IFERROR(__xludf.DUMMYFUNCTION("""COMPUTED_VALUE"""),"R019=45.6% ~ 50.8%")</f>
        <v>R019=45.6% ~ 50.8%</v>
      </c>
      <c r="S21" s="14"/>
      <c r="T21" s="7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7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30" t="str">
        <f>IFERROR(__xludf.DUMMYFUNCTION("""COMPUTED_VALUE"""),"9-4-消防系統無法發揮冷卻作用")</f>
        <v>9-4-消防系統無法發揮冷卻作用</v>
      </c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32" t="str">
        <f>IFERROR(__xludf.DUMMYFUNCTION("""COMPUTED_VALUE"""),"R023=40.6% ~ 46.3%")</f>
        <v>R023=40.6% ~ 46.3%</v>
      </c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  <c r="Q25" s="1"/>
      <c r="R25" s="1"/>
      <c r="S25" s="1"/>
      <c r="T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IFERROR(__xludf.DUMMYFUNCTION("""COMPUTED_VALUE"""),"R027=61.1% ~ 67.5%")</f>
        <v>R027=61.1% ~ 67.5%</v>
      </c>
      <c r="M26" s="15"/>
      <c r="N26" s="10" t="str">
        <f>IFERROR(__xludf.DUMMYFUNCTION("""COMPUTED_VALUE"""),"P(13)=4.418%")</f>
        <v>P(13)=4.418%</v>
      </c>
      <c r="O26" s="1"/>
      <c r="P26" s="1"/>
      <c r="Q26" s="1"/>
      <c r="R26" s="1"/>
      <c r="S26" s="1"/>
      <c r="T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IFERROR(__xludf.DUMMYFUNCTION("""COMPUTED_VALUE"""),"Impact 14")</f>
        <v>Impact 14</v>
      </c>
      <c r="Q27" s="1"/>
      <c r="R27" s="1"/>
      <c r="S27" s="1"/>
      <c r="T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IFERROR(__xludf.DUMMYFUNCTION("""COMPUTED_VALUE"""),"R026=72.4% ~ 75.0%")</f>
        <v>R026=72.4% ~ 75.0%</v>
      </c>
      <c r="K28" s="14"/>
      <c r="L28" s="7"/>
      <c r="M28" s="1"/>
      <c r="N28" s="13" t="str">
        <f>IFERROR(__xludf.DUMMYFUNCTION("""COMPUTED_VALUE"""),"R029=70.0% ~ 77.3%")</f>
        <v>R029=70.0% ~ 77.3%</v>
      </c>
      <c r="O28" s="15"/>
      <c r="P28" s="10" t="str">
        <f>IFERROR(__xludf.DUMMYFUNCTION("""COMPUTED_VALUE"""),"P(14)=1.784%")</f>
        <v>P(14)=1.784%</v>
      </c>
      <c r="Q28" s="1"/>
      <c r="R28" s="1"/>
      <c r="S28" s="1"/>
      <c r="T28" s="8" t="str">
        <f>IFERROR(__xludf.DUMMYFUNCTION("""COMPUTED_VALUE"""),"9-5-消防系統有效發揮冷卻作用")</f>
        <v>9-5-消防系統有效發揮冷卻作用</v>
      </c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8" t="str">
        <f>IFERROR(__xludf.DUMMYFUNCTION("""COMPUTED_VALUE"""),"7-3-未發生電池櫃熱失控傳播現象")</f>
        <v>7-3-未發生電池櫃熱失控傳播現象</v>
      </c>
      <c r="Q29" s="9"/>
      <c r="R29" s="10" t="str">
        <f>IFERROR(__xludf.DUMMYFUNCTION("""COMPUTED_VALUE"""),"Impact 15")</f>
        <v>Impact 15</v>
      </c>
      <c r="S29" s="1"/>
      <c r="T29" s="13" t="str">
        <f>IFERROR(__xludf.DUMMYFUNCTION("""COMPUTED_VALUE"""),"R034=63.2% ~ 69.9%")</f>
        <v>R034=63.2% ~ 69.9%</v>
      </c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IFERROR(__xludf.DUMMYFUNCTION("""COMPUTED_VALUE"""),"R028=32.5% ~ 38.9%")</f>
        <v>R028=32.5% ~ 38.9%</v>
      </c>
      <c r="M30" s="14"/>
      <c r="N30" s="7"/>
      <c r="O30" s="1"/>
      <c r="P30" s="13" t="str">
        <f>IFERROR(__xludf.DUMMYFUNCTION("""COMPUTED_VALUE"""),"R031=73.1% ~ 80.8%")</f>
        <v>R031=73.1% ~ 80.8%</v>
      </c>
      <c r="Q30" s="15"/>
      <c r="R30" s="10" t="str">
        <f>IFERROR(__xludf.DUMMYFUNCTION("""COMPUTED_VALUE"""),"P(15)=0.484%")</f>
        <v>P(15)=0.484%</v>
      </c>
      <c r="S30" s="1"/>
      <c r="T30" s="7"/>
    </row>
    <row r="31" ht="6.75" customHeight="1">
      <c r="A31" s="1"/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"/>
      <c r="N31" s="7"/>
      <c r="O31" s="1"/>
      <c r="P31" s="7"/>
      <c r="Q31" s="1"/>
      <c r="R31" s="8" t="str">
        <f>IFERROR(__xludf.DUMMYFUNCTION("""COMPUTED_VALUE"""),"8-3-可燃氣體濃度未達到LFL")</f>
        <v>8-3-可燃氣體濃度未達到LFL</v>
      </c>
      <c r="S31" s="20"/>
      <c r="T31" s="7"/>
    </row>
    <row r="32" ht="6.75" customHeight="1">
      <c r="A32" s="1"/>
      <c r="B32" s="47" t="str">
        <f>'D10'!B77</f>
        <v>頂層事件(Top Event )</v>
      </c>
      <c r="C32" s="1"/>
      <c r="D32" s="8" t="str">
        <f>IFERROR(__xludf.DUMMYFUNCTION("""COMPUTED_VALUE"""),"1-1-值班室或EWCS通報電池異常")</f>
        <v>1-1-值班室或EWCS通報電池異常</v>
      </c>
      <c r="E32" s="20"/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20"/>
      <c r="P32" s="7"/>
      <c r="Q32" s="1"/>
      <c r="R32" s="13" t="str">
        <f>IFERROR(__xludf.DUMMYFUNCTION("""COMPUTED_VALUE"""),"R033=24.6% ~ 27.2%")</f>
        <v>R033=24.6% ~ 27.2%</v>
      </c>
      <c r="S32" s="14"/>
      <c r="T32" s="7"/>
    </row>
    <row r="33" ht="6.75" customHeight="1">
      <c r="A33" s="1"/>
      <c r="B33" s="9"/>
      <c r="C33" s="1"/>
      <c r="D33" s="13" t="str">
        <f>IFERROR(__xludf.DUMMYFUNCTION("""COMPUTED_VALUE"""),"R001=59.9% ~ 66.2%")</f>
        <v>R001=59.9% ~ 66.2%</v>
      </c>
      <c r="E33" s="14"/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IFERROR(__xludf.DUMMYFUNCTION("""COMPUTED_VALUE"""),"R030=22.7% ~ 30.0%")</f>
        <v>R030=22.7% ~ 30.0%</v>
      </c>
      <c r="O33" s="14"/>
      <c r="P33" s="7"/>
      <c r="Q33" s="1"/>
      <c r="R33" s="7"/>
      <c r="S33" s="1"/>
      <c r="T33" s="7"/>
    </row>
    <row r="34" ht="6.75" customHeight="1">
      <c r="A34" s="1"/>
      <c r="B34" s="69" t="str">
        <f>'D10'!B79</f>
        <v>電芯溫度或壓力達危險界限FTop(t)
The Temperature or Pressure of the Cell Reaches Dangerous Levels</v>
      </c>
      <c r="C34" s="1"/>
      <c r="D34" s="7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7"/>
      <c r="Q34" s="1"/>
      <c r="R34" s="7"/>
      <c r="S34" s="1"/>
      <c r="T34" s="7"/>
    </row>
    <row r="35" ht="6.75" customHeight="1">
      <c r="A35" s="1"/>
      <c r="B35" s="12"/>
      <c r="C35" s="51"/>
      <c r="D35" s="7"/>
      <c r="E35" s="1"/>
      <c r="F35" s="7"/>
      <c r="G35" s="1"/>
      <c r="H35" s="1"/>
      <c r="I35" s="1"/>
      <c r="J35" s="1"/>
      <c r="K35" s="1"/>
      <c r="L35" s="1"/>
      <c r="M35" s="1"/>
      <c r="N35" s="1"/>
      <c r="O35" s="1"/>
      <c r="P35" s="7"/>
      <c r="Q35" s="1"/>
      <c r="R35" s="7"/>
      <c r="S35" s="1"/>
      <c r="T35" s="30" t="str">
        <f>IFERROR(__xludf.DUMMYFUNCTION("""COMPUTED_VALUE"""),"9-6-消防系統無法發揮冷卻作用")</f>
        <v>9-6-消防系統無法發揮冷卻作用</v>
      </c>
    </row>
    <row r="36" ht="6.75" customHeight="1">
      <c r="A36" s="1"/>
      <c r="B36" s="12"/>
      <c r="C36" s="45"/>
      <c r="D36" s="7"/>
      <c r="E36" s="1"/>
      <c r="F36" s="7"/>
      <c r="G36" s="1"/>
      <c r="H36" s="1"/>
      <c r="I36" s="1"/>
      <c r="J36" s="1"/>
      <c r="K36" s="1"/>
      <c r="L36" s="1"/>
      <c r="M36" s="1"/>
      <c r="N36" s="1"/>
      <c r="O36" s="1"/>
      <c r="P36" s="30" t="str">
        <f>IFERROR(__xludf.DUMMYFUNCTION("""COMPUTED_VALUE"""),"7-4-發生電池櫃熱失控傳播現象")</f>
        <v>7-4-發生電池櫃熱失控傳播現象</v>
      </c>
      <c r="Q36" s="20"/>
      <c r="R36" s="7"/>
      <c r="S36" s="1"/>
      <c r="T36" s="32" t="str">
        <f>IFERROR(__xludf.DUMMYFUNCTION("""COMPUTED_VALUE"""),"R037=30.1% ~ 36.8%")</f>
        <v>R037=30.1% ~ 36.8%</v>
      </c>
    </row>
    <row r="37" ht="6.75" customHeight="1">
      <c r="A37" s="1"/>
      <c r="B37" s="21"/>
      <c r="C37" s="1"/>
      <c r="D37" s="40"/>
      <c r="E37" s="1"/>
      <c r="F37" s="7"/>
      <c r="G37" s="1"/>
      <c r="H37" s="1"/>
      <c r="I37" s="1"/>
      <c r="J37" s="1"/>
      <c r="K37" s="1"/>
      <c r="L37" s="1"/>
      <c r="M37" s="1"/>
      <c r="N37" s="1"/>
      <c r="O37" s="1"/>
      <c r="P37" s="32" t="str">
        <f>IFERROR(__xludf.DUMMYFUNCTION("""COMPUTED_VALUE"""),"R032=19.2% ~ 26.9%")</f>
        <v>R032=19.2% ~ 26.9%</v>
      </c>
      <c r="Q37" s="14"/>
      <c r="R37" s="7"/>
      <c r="S37" s="1"/>
      <c r="T37" s="1"/>
    </row>
    <row r="38" ht="6.75" customHeight="1">
      <c r="B38" s="70" t="str">
        <f>'D10'!B83</f>
        <v>Freq.Ann (Annual Frequency)</v>
      </c>
      <c r="C38" s="72"/>
      <c r="D38" s="40"/>
      <c r="E38" s="1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7"/>
      <c r="S38" s="1"/>
      <c r="T38" s="1"/>
    </row>
    <row r="39" ht="6.75" customHeight="1">
      <c r="C39" s="72"/>
      <c r="D39" s="7"/>
      <c r="E39" s="1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7"/>
      <c r="S39" s="1"/>
      <c r="T39" s="1"/>
    </row>
    <row r="40" ht="6.75" customHeight="1">
      <c r="C40" s="72"/>
      <c r="D40" s="7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7"/>
      <c r="S40" s="1"/>
      <c r="T40" s="8" t="str">
        <f>IFERROR(__xludf.DUMMYFUNCTION("""COMPUTED_VALUE"""),"9-7-消防系統有效發揮冷卻作用")</f>
        <v>9-7-消防系統有效發揮冷卻作用</v>
      </c>
    </row>
    <row r="41" ht="6.75" customHeight="1">
      <c r="C41" s="72"/>
      <c r="D41" s="7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7"/>
      <c r="S41" s="1"/>
      <c r="T41" s="13" t="str">
        <f>IFERROR(__xludf.DUMMYFUNCTION("""COMPUTED_VALUE"""),"R041=53.7% ~ 59.4%")</f>
        <v>R041=53.7% ~ 59.4%</v>
      </c>
    </row>
    <row r="42" ht="6.75" customHeight="1">
      <c r="A42" s="1"/>
      <c r="B42" s="27"/>
      <c r="C42" s="1"/>
      <c r="D42" s="7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24"/>
      <c r="R42" s="1"/>
      <c r="S42" s="24"/>
      <c r="T42" s="1"/>
    </row>
    <row r="43" ht="6.75" customHeight="1">
      <c r="A43" s="1"/>
      <c r="C43" s="1"/>
      <c r="D43" s="7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 t="str">
        <f>IFERROR(__xludf.DUMMYFUNCTION("""COMPUTED_VALUE"""),"8-4-可燃氣體濃度達到LFL")</f>
        <v>8-4-可燃氣體濃度達到LFL</v>
      </c>
      <c r="S43" s="20"/>
      <c r="T43" s="7"/>
    </row>
    <row r="44" ht="6.75" customHeight="1">
      <c r="A44" s="1"/>
      <c r="B44" s="1"/>
      <c r="C44" s="1"/>
      <c r="D44" s="7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 t="str">
        <f>IFERROR(__xludf.DUMMYFUNCTION("""COMPUTED_VALUE"""),"R040=72.8% ~ 75.4%")</f>
        <v>R040=72.8% ~ 75.4%</v>
      </c>
      <c r="S44" s="14"/>
      <c r="T44" s="7"/>
    </row>
    <row r="45" ht="6.75" customHeight="1">
      <c r="A45" s="1"/>
      <c r="B45" s="1"/>
      <c r="C45" s="1"/>
      <c r="D45" s="7"/>
      <c r="E45" s="1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"/>
    </row>
    <row r="46" ht="6.75" customHeight="1">
      <c r="A46" s="1"/>
      <c r="B46" s="1"/>
      <c r="C46" s="1"/>
      <c r="D46" s="7"/>
      <c r="E46" s="1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"/>
    </row>
    <row r="47" ht="6.75" customHeight="1">
      <c r="A47" s="1"/>
      <c r="B47" s="1"/>
      <c r="C47" s="1"/>
      <c r="D47" s="7"/>
      <c r="E47" s="1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0" t="str">
        <f>IFERROR(__xludf.DUMMYFUNCTION("""COMPUTED_VALUE"""),"9-8-消防系統無法發揮冷卻作用")</f>
        <v>9-8-消防系統無法發揮冷卻作用</v>
      </c>
    </row>
    <row r="48" ht="6.75" customHeight="1">
      <c r="A48" s="1"/>
      <c r="B48" s="1"/>
      <c r="C48" s="1"/>
      <c r="D48" s="7"/>
      <c r="E48" s="1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2" t="str">
        <f>IFERROR(__xludf.DUMMYFUNCTION("""COMPUTED_VALUE"""),"R044=40.6% ~ 46.3%")</f>
        <v>R044=40.6% ~ 46.3%</v>
      </c>
    </row>
  </sheetData>
  <mergeCells count="48"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J28:K28"/>
    <mergeCell ref="B32:B33"/>
    <mergeCell ref="D32:E32"/>
    <mergeCell ref="D33:E33"/>
    <mergeCell ref="B34:B37"/>
    <mergeCell ref="B38:B39"/>
    <mergeCell ref="B42:B43"/>
    <mergeCell ref="R31:S31"/>
    <mergeCell ref="R32:S32"/>
    <mergeCell ref="R43:S43"/>
    <mergeCell ref="R44:S44"/>
    <mergeCell ref="P30:Q30"/>
    <mergeCell ref="P36:Q36"/>
    <mergeCell ref="P37:Q37"/>
    <mergeCell ref="N27:O27"/>
    <mergeCell ref="N28:O28"/>
    <mergeCell ref="L29:M29"/>
    <mergeCell ref="P29:Q29"/>
    <mergeCell ref="L30:M30"/>
    <mergeCell ref="N32:O32"/>
    <mergeCell ref="N33:O33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  <col customWidth="1" min="19" max="19" width="8.11"/>
    <col customWidth="1" min="20" max="20" width="12.22"/>
    <col customWidth="1" min="21" max="21" width="15.22"/>
    <col customWidth="1" min="22" max="22" width="5.0"/>
    <col customWidth="1" min="23" max="26" width="6.78"/>
  </cols>
  <sheetData>
    <row r="1" ht="6.75" customHeight="1">
      <c r="A1" s="1" t="str">
        <f>IFERROR(__xludf.DUMMYFUNCTION("IMPORTRANGE(""https://docs.google.com/spreadsheets/d/1t5p1V1vn1beMzhwo3tAXD9To3NcoZvCvL1iNSOWlfw0/edit?gid=820687370#gid=820687370"",""'數值'!A1:V"")"),"")</f>
        <v/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IFERROR(__xludf.DUMMYFUNCTION("""COMPUTED_VALUE"""),"R006=61.1% ~ 67.5%")</f>
        <v>R006=61.1% ~ 67.5%</v>
      </c>
      <c r="M3" s="15"/>
      <c r="N3" s="10" t="str">
        <f>IFERROR(__xludf.DUMMYFUNCTION("""COMPUTED_VALUE"""),"P(02)=1.570%")</f>
        <v>P(02)=1.570%</v>
      </c>
      <c r="O3" s="1"/>
      <c r="P3" s="1"/>
      <c r="Q3" s="1"/>
      <c r="R3" s="1"/>
      <c r="S3" s="1"/>
      <c r="T3" s="1"/>
      <c r="U3" s="8" t="str">
        <f>IFERROR(__xludf.DUMMYFUNCTION("""COMPUTED_VALUE"""),"10-1-熱煙或毒性氣體未危害至儲能空間以外")</f>
        <v>10-1-熱煙或毒性氣體未危害至儲能空間以外</v>
      </c>
      <c r="V3" s="10" t="str">
        <f>IFERROR(__xludf.DUMMYFUNCTION("""COMPUTED_VALUE"""),"Impact 05")</f>
        <v>Impact 05</v>
      </c>
      <c r="W3" s="1"/>
      <c r="X3" s="1"/>
      <c r="Y3" s="1"/>
      <c r="Z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IFERROR(__xludf.DUMMYFUNCTION("""COMPUTED_VALUE"""),"Impact 03")</f>
        <v>Impact 03</v>
      </c>
      <c r="Q4" s="1"/>
      <c r="R4" s="1"/>
      <c r="S4" s="1"/>
      <c r="T4" s="1"/>
      <c r="U4" s="13" t="str">
        <f>IFERROR(__xludf.DUMMYFUNCTION("""COMPUTED_VALUE"""),"R014=56.6% ~ 62.6%")</f>
        <v>R014=56.6% ~ 62.6%</v>
      </c>
      <c r="V4" s="10" t="str">
        <f>IFERROR(__xludf.DUMMYFUNCTION("""COMPUTED_VALUE"""),"P(05)=0.011%")</f>
        <v>P(05)=0.011%</v>
      </c>
      <c r="W4" s="1"/>
      <c r="X4" s="1"/>
      <c r="Y4" s="1"/>
      <c r="Z4" s="1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IFERROR(__xludf.DUMMYFUNCTION("""COMPUTED_VALUE"""),"R005=25.0% ~ 27.6%")</f>
        <v>R005=25.0% ~ 27.6%</v>
      </c>
      <c r="K5" s="14"/>
      <c r="L5" s="7"/>
      <c r="M5" s="1"/>
      <c r="N5" s="13" t="str">
        <f>IFERROR(__xludf.DUMMYFUNCTION("""COMPUTED_VALUE"""),"R008=70.0% ~ 77.3%")</f>
        <v>R008=70.0% ~ 77.3%</v>
      </c>
      <c r="O5" s="15"/>
      <c r="P5" s="10" t="str">
        <f>IFERROR(__xludf.DUMMYFUNCTION("""COMPUTED_VALUE"""),"P(03)=0.647%")</f>
        <v>P(03)=0.647%</v>
      </c>
      <c r="Q5" s="1"/>
      <c r="R5" s="1"/>
      <c r="S5" s="1"/>
      <c r="T5" s="8" t="str">
        <f>IFERROR(__xludf.DUMMYFUNCTION("""COMPUTED_VALUE"""),"9-1-消防系統有效發揮冷卻作用")</f>
        <v>9-1-消防系統有效發揮冷卻作用</v>
      </c>
      <c r="U5" s="26"/>
      <c r="V5" s="1"/>
      <c r="W5" s="1"/>
      <c r="X5" s="1"/>
      <c r="Y5" s="1"/>
      <c r="Z5" s="1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8" t="str">
        <f>IFERROR(__xludf.DUMMYFUNCTION("""COMPUTED_VALUE"""),"7-1-未發生電池櫃熱失控傳播現象")</f>
        <v>7-1-未發生電池櫃熱失控傳播現象</v>
      </c>
      <c r="Q6" s="9"/>
      <c r="R6" s="10" t="str">
        <f>IFERROR(__xludf.DUMMYFUNCTION("""COMPUTED_VALUE"""),"Impact 04")</f>
        <v>Impact 04</v>
      </c>
      <c r="S6" s="1"/>
      <c r="T6" s="13" t="str">
        <f>IFERROR(__xludf.DUMMYFUNCTION("""COMPUTED_VALUE"""),"R013=63.2% ~ 69.9%")</f>
        <v>R013=63.2% ~ 69.9%</v>
      </c>
      <c r="U6" s="30" t="str">
        <f>IFERROR(__xludf.DUMMYFUNCTION("""COMPUTED_VALUE"""),"10-2-熱煙或毒性氣體危害至儲能空間以外")</f>
        <v>10-2-熱煙或毒性氣體危害至儲能空間以外</v>
      </c>
      <c r="V6" s="10" t="str">
        <f>IFERROR(__xludf.DUMMYFUNCTION("""COMPUTED_VALUE"""),"Impact 06")</f>
        <v>Impact 06</v>
      </c>
      <c r="W6" s="1"/>
      <c r="X6" s="1"/>
      <c r="Y6" s="1"/>
      <c r="Z6" s="1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IFERROR(__xludf.DUMMYFUNCTION("""COMPUTED_VALUE"""),"R007=32.5% ~ 38.9%")</f>
        <v>R007=32.5% ~ 38.9%</v>
      </c>
      <c r="M7" s="14"/>
      <c r="N7" s="7"/>
      <c r="O7" s="1"/>
      <c r="P7" s="13" t="str">
        <f>IFERROR(__xludf.DUMMYFUNCTION("""COMPUTED_VALUE"""),"R010=73.1% ~ 80.8%")</f>
        <v>R010=73.1% ~ 80.8%</v>
      </c>
      <c r="Q7" s="15"/>
      <c r="R7" s="10" t="str">
        <f>IFERROR(__xludf.DUMMYFUNCTION("""COMPUTED_VALUE"""),"P(04)=0.178%")</f>
        <v>P(04)=0.178%</v>
      </c>
      <c r="S7" s="1"/>
      <c r="T7" s="7"/>
      <c r="U7" s="32" t="str">
        <f>IFERROR(__xludf.DUMMYFUNCTION("""COMPUTED_VALUE"""),"R015=37.4% ~ 43.4%")</f>
        <v>R015=37.4% ~ 43.4%</v>
      </c>
      <c r="V7" s="10" t="str">
        <f>IFERROR(__xludf.DUMMYFUNCTION("""COMPUTED_VALUE"""),"P(06)=0.007%")</f>
        <v>P(06)=0.007%</v>
      </c>
      <c r="W7" s="1"/>
      <c r="X7" s="1"/>
      <c r="Y7" s="1"/>
      <c r="Z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7"/>
      <c r="Q8" s="1"/>
      <c r="R8" s="8" t="str">
        <f>IFERROR(__xludf.DUMMYFUNCTION("""COMPUTED_VALUE"""),"8-1-可燃氣體濃度未達到LFL")</f>
        <v>8-1-可燃氣體濃度未達到LFL</v>
      </c>
      <c r="S8" s="20"/>
      <c r="T8" s="7"/>
      <c r="U8" s="1"/>
      <c r="V8" s="1"/>
      <c r="W8" s="1"/>
      <c r="X8" s="1"/>
      <c r="Y8" s="1"/>
      <c r="Z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20"/>
      <c r="P9" s="7"/>
      <c r="Q9" s="1"/>
      <c r="R9" s="13" t="str">
        <f>IFERROR(__xludf.DUMMYFUNCTION("""COMPUTED_VALUE"""),"R012=49.2% ~ 54.4%")</f>
        <v>R012=49.2% ~ 54.4%</v>
      </c>
      <c r="S9" s="14"/>
      <c r="T9" s="7"/>
      <c r="U9" s="8" t="str">
        <f>IFERROR(__xludf.DUMMYFUNCTION("""COMPUTED_VALUE"""),"10-3-熱煙或毒性氣體未危害至儲能空間以外")</f>
        <v>10-3-熱煙或毒性氣體未危害至儲能空間以外</v>
      </c>
      <c r="V9" s="10" t="str">
        <f>IFERROR(__xludf.DUMMYFUNCTION("""COMPUTED_VALUE"""),"Impact 07")</f>
        <v>Impact 07</v>
      </c>
      <c r="W9" s="1"/>
      <c r="X9" s="1"/>
      <c r="Y9" s="1"/>
      <c r="Z9" s="1"/>
    </row>
    <row r="10" ht="6.75" customHeight="1">
      <c r="A10" s="1"/>
      <c r="B10" s="1"/>
      <c r="C10" s="1"/>
      <c r="D10" s="1"/>
      <c r="E10" s="1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IFERROR(__xludf.DUMMYFUNCTION("""COMPUTED_VALUE"""),"R009=22.7% ~ 30.0%")</f>
        <v>R009=22.7% ~ 30.0%</v>
      </c>
      <c r="O10" s="14"/>
      <c r="P10" s="7"/>
      <c r="Q10" s="1"/>
      <c r="R10" s="7"/>
      <c r="S10" s="1"/>
      <c r="T10" s="7"/>
      <c r="U10" s="13" t="str">
        <f>IFERROR(__xludf.DUMMYFUNCTION("""COMPUTED_VALUE"""),"R017=45.3% ~ 50.1%")</f>
        <v>R017=45.3% ~ 50.1%</v>
      </c>
      <c r="V10" s="10" t="str">
        <f>IFERROR(__xludf.DUMMYFUNCTION("""COMPUTED_VALUE"""),"P(07)=0.004%")</f>
        <v>P(07)=0.004%</v>
      </c>
      <c r="W10" s="1"/>
      <c r="X10" s="1"/>
      <c r="Y10" s="1"/>
      <c r="Z10" s="1"/>
    </row>
    <row r="11" ht="6.75" customHeight="1">
      <c r="A11" s="1"/>
      <c r="B11" s="1"/>
      <c r="C11" s="1"/>
      <c r="D11" s="1"/>
      <c r="E11" s="1"/>
      <c r="F11" s="7"/>
      <c r="G11" s="1"/>
      <c r="H11" s="7"/>
      <c r="I11" s="24"/>
      <c r="J11" s="1"/>
      <c r="K11" s="1"/>
      <c r="L11" s="1"/>
      <c r="M11" s="1"/>
      <c r="N11" s="1"/>
      <c r="O11" s="1"/>
      <c r="P11" s="7"/>
      <c r="Q11" s="1"/>
      <c r="R11" s="7"/>
      <c r="S11" s="1"/>
      <c r="T11" s="30" t="str">
        <f>IFERROR(__xludf.DUMMYFUNCTION("""COMPUTED_VALUE"""),"9-2-消防系統無法發揮冷卻作用")</f>
        <v>9-2-消防系統無法發揮冷卻作用</v>
      </c>
      <c r="U11" s="26"/>
      <c r="V11" s="1"/>
      <c r="W11" s="1"/>
      <c r="X11" s="1"/>
      <c r="Y11" s="1"/>
      <c r="Z11" s="1"/>
    </row>
    <row r="12" ht="6.75" customHeight="1">
      <c r="A12" s="1"/>
      <c r="B12" s="1"/>
      <c r="C12" s="1"/>
      <c r="D12" s="1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7"/>
      <c r="Q12" s="1"/>
      <c r="R12" s="7"/>
      <c r="S12" s="1"/>
      <c r="T12" s="32" t="str">
        <f>IFERROR(__xludf.DUMMYFUNCTION("""COMPUTED_VALUE"""),"R016=30.1% ~ 36.8%")</f>
        <v>R016=30.1% ~ 36.8%</v>
      </c>
      <c r="U12" s="30" t="str">
        <f>IFERROR(__xludf.DUMMYFUNCTION("""COMPUTED_VALUE"""),"10-4-熱煙或毒性氣體危害至儲能空間以外")</f>
        <v>10-4-熱煙或毒性氣體危害至儲能空間以外</v>
      </c>
      <c r="V12" s="10" t="str">
        <f>IFERROR(__xludf.DUMMYFUNCTION("""COMPUTED_VALUE"""),"Impact 08")</f>
        <v>Impact 08</v>
      </c>
      <c r="W12" s="1"/>
      <c r="X12" s="1"/>
      <c r="Y12" s="1"/>
      <c r="Z12" s="1"/>
    </row>
    <row r="13" ht="6.75" customHeight="1">
      <c r="A13" s="1"/>
      <c r="B13" s="1"/>
      <c r="C13" s="1"/>
      <c r="D13" s="1"/>
      <c r="E13" s="1"/>
      <c r="F13" s="40"/>
      <c r="G13" s="1"/>
      <c r="H13" s="7"/>
      <c r="I13" s="24"/>
      <c r="J13" s="1"/>
      <c r="K13" s="1"/>
      <c r="L13" s="1"/>
      <c r="M13" s="1"/>
      <c r="N13" s="1"/>
      <c r="O13" s="24"/>
      <c r="P13" s="1"/>
      <c r="Q13" s="1"/>
      <c r="R13" s="7"/>
      <c r="S13" s="1"/>
      <c r="T13" s="1"/>
      <c r="U13" s="32" t="str">
        <f>IFERROR(__xludf.DUMMYFUNCTION("""COMPUTED_VALUE"""),"R018=49.9% ~ 54.7%")</f>
        <v>R018=49.9% ~ 54.7%</v>
      </c>
      <c r="V13" s="10" t="str">
        <f>IFERROR(__xludf.DUMMYFUNCTION("""COMPUTED_VALUE"""),"P(08)=0.005%")</f>
        <v>P(08)=0.005%</v>
      </c>
      <c r="W13" s="1"/>
      <c r="X13" s="1"/>
      <c r="Y13" s="1"/>
      <c r="Z13" s="1"/>
    </row>
    <row r="14" ht="6.75" customHeight="1">
      <c r="A14" s="1"/>
      <c r="B14" s="1"/>
      <c r="C14" s="1"/>
      <c r="D14" s="1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30" t="str">
        <f>IFERROR(__xludf.DUMMYFUNCTION("""COMPUTED_VALUE"""),"7-2-發生電池櫃熱失控傳播現象")</f>
        <v>7-2-發生電池櫃熱失控傳播現象</v>
      </c>
      <c r="Q14" s="20"/>
      <c r="R14" s="7"/>
      <c r="S14" s="1"/>
      <c r="T14" s="1"/>
      <c r="U14" s="1"/>
      <c r="V14" s="1"/>
      <c r="W14" s="1"/>
      <c r="X14" s="1"/>
      <c r="Y14" s="1"/>
      <c r="Z14" s="1"/>
    </row>
    <row r="15" ht="6.75" customHeight="1">
      <c r="A15" s="1"/>
      <c r="B15" s="1"/>
      <c r="C15" s="1"/>
      <c r="D15" s="1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32" t="str">
        <f>IFERROR(__xludf.DUMMYFUNCTION("""COMPUTED_VALUE"""),"R011=19.2% ~ 26.9%")</f>
        <v>R011=19.2% ~ 26.9%</v>
      </c>
      <c r="Q15" s="14"/>
      <c r="R15" s="7"/>
      <c r="S15" s="1"/>
      <c r="T15" s="1"/>
      <c r="U15" s="8" t="str">
        <f>IFERROR(__xludf.DUMMYFUNCTION("""COMPUTED_VALUE"""),"10-5-熱煙或毒性氣體未危害至儲能空間以外")</f>
        <v>10-5-熱煙或毒性氣體未危害至儲能空間以外</v>
      </c>
      <c r="V15" s="10" t="str">
        <f>IFERROR(__xludf.DUMMYFUNCTION("""COMPUTED_VALUE"""),"Impact 09")</f>
        <v>Impact 09</v>
      </c>
      <c r="W15" s="1"/>
      <c r="X15" s="1"/>
      <c r="Y15" s="1"/>
      <c r="Z15" s="1"/>
    </row>
    <row r="16" ht="6.75" customHeight="1">
      <c r="A16" s="1"/>
      <c r="B16" s="1"/>
      <c r="C16" s="1"/>
      <c r="D16" s="1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  <c r="Q16" s="1"/>
      <c r="R16" s="7"/>
      <c r="S16" s="1"/>
      <c r="T16" s="1"/>
      <c r="U16" s="13" t="str">
        <f>IFERROR(__xludf.DUMMYFUNCTION("""COMPUTED_VALUE"""),"R021=56.6% ~ 62.6%")</f>
        <v>R021=56.6% ~ 62.6%</v>
      </c>
      <c r="V16" s="10" t="str">
        <f>IFERROR(__xludf.DUMMYFUNCTION("""COMPUTED_VALUE"""),"P(09)=0.009%")</f>
        <v>P(09)=0.009%</v>
      </c>
      <c r="W16" s="1"/>
      <c r="X16" s="1"/>
      <c r="Y16" s="1"/>
      <c r="Z16" s="1"/>
    </row>
    <row r="17" ht="6.75" customHeight="1">
      <c r="A17" s="1"/>
      <c r="B17" s="1"/>
      <c r="C17" s="1"/>
      <c r="D17" s="1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  <c r="Q17" s="1"/>
      <c r="R17" s="7"/>
      <c r="S17" s="1"/>
      <c r="T17" s="8" t="str">
        <f>IFERROR(__xludf.DUMMYFUNCTION("""COMPUTED_VALUE"""),"9-3-消防系統有效發揮冷卻作用")</f>
        <v>9-3-消防系統有效發揮冷卻作用</v>
      </c>
      <c r="U17" s="26"/>
      <c r="V17" s="1"/>
      <c r="W17" s="1"/>
      <c r="X17" s="1"/>
      <c r="Y17" s="1"/>
      <c r="Z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  <c r="Q18" s="1"/>
      <c r="R18" s="7"/>
      <c r="S18" s="1"/>
      <c r="T18" s="13" t="str">
        <f>IFERROR(__xludf.DUMMYFUNCTION("""COMPUTED_VALUE"""),"R020=53.7% ~ 59.4%")</f>
        <v>R020=53.7% ~ 59.4%</v>
      </c>
      <c r="U18" s="30" t="str">
        <f>IFERROR(__xludf.DUMMYFUNCTION("""COMPUTED_VALUE"""),"10-6-熱煙或毒性氣體危害至儲能空間以外")</f>
        <v>10-6-熱煙或毒性氣體危害至儲能空間以外</v>
      </c>
      <c r="V18" s="10" t="str">
        <f>IFERROR(__xludf.DUMMYFUNCTION("""COMPUTED_VALUE"""),"Impact 10")</f>
        <v>Impact 10</v>
      </c>
      <c r="W18" s="1"/>
      <c r="X18" s="1"/>
      <c r="Y18" s="1"/>
      <c r="Z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  <c r="Q19" s="24"/>
      <c r="R19" s="1"/>
      <c r="S19" s="1"/>
      <c r="T19" s="7"/>
      <c r="U19" s="32" t="str">
        <f>IFERROR(__xludf.DUMMYFUNCTION("""COMPUTED_VALUE"""),"R022=37.4% ~ 43.4%")</f>
        <v>R022=37.4% ~ 43.4%</v>
      </c>
      <c r="V19" s="10" t="str">
        <f>IFERROR(__xludf.DUMMYFUNCTION("""COMPUTED_VALUE"""),"P(10)=0.006%")</f>
        <v>P(10)=0.006%</v>
      </c>
      <c r="W19" s="1"/>
      <c r="X19" s="1"/>
      <c r="Y19" s="1"/>
      <c r="Z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  <c r="Q20" s="1"/>
      <c r="R20" s="30" t="str">
        <f>IFERROR(__xludf.DUMMYFUNCTION("""COMPUTED_VALUE"""),"8-2-可燃氣體濃度達到LFL")</f>
        <v>8-2-可燃氣體濃度達到LFL</v>
      </c>
      <c r="S20" s="20"/>
      <c r="T20" s="7"/>
      <c r="U20" s="1"/>
      <c r="V20" s="1"/>
      <c r="W20" s="1"/>
      <c r="X20" s="1"/>
      <c r="Y20" s="1"/>
      <c r="Z20" s="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  <c r="Q21" s="1"/>
      <c r="R21" s="32" t="str">
        <f>IFERROR(__xludf.DUMMYFUNCTION("""COMPUTED_VALUE"""),"R019=45.6% ~ 50.8%")</f>
        <v>R019=45.6% ~ 50.8%</v>
      </c>
      <c r="S21" s="14"/>
      <c r="T21" s="7"/>
      <c r="U21" s="8" t="str">
        <f>IFERROR(__xludf.DUMMYFUNCTION("""COMPUTED_VALUE"""),"10-7-熱煙或毒性氣體未危害至儲能空間以外")</f>
        <v>10-7-熱煙或毒性氣體未危害至儲能空間以外</v>
      </c>
      <c r="V21" s="10" t="str">
        <f>IFERROR(__xludf.DUMMYFUNCTION("""COMPUTED_VALUE"""),"Impact 11")</f>
        <v>Impact 11</v>
      </c>
      <c r="W21" s="1"/>
      <c r="X21" s="1"/>
      <c r="Y21" s="1"/>
      <c r="Z21" s="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7"/>
      <c r="U22" s="13" t="str">
        <f>IFERROR(__xludf.DUMMYFUNCTION("""COMPUTED_VALUE"""),"R024=45.3% ~ 50.1%")</f>
        <v>R024=45.3% ~ 50.1%</v>
      </c>
      <c r="V22" s="10" t="str">
        <f>IFERROR(__xludf.DUMMYFUNCTION("""COMPUTED_VALUE"""),"P(11)=0.005%")</f>
        <v>P(11)=0.005%</v>
      </c>
      <c r="W22" s="1"/>
      <c r="X22" s="1"/>
      <c r="Y22" s="1"/>
      <c r="Z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30" t="str">
        <f>IFERROR(__xludf.DUMMYFUNCTION("""COMPUTED_VALUE"""),"9-4-消防系統無法發揮冷卻作用")</f>
        <v>9-4-消防系統無法發揮冷卻作用</v>
      </c>
      <c r="U23" s="26"/>
      <c r="V23" s="1"/>
      <c r="W23" s="1"/>
      <c r="X23" s="1"/>
      <c r="Y23" s="1"/>
      <c r="Z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32" t="str">
        <f>IFERROR(__xludf.DUMMYFUNCTION("""COMPUTED_VALUE"""),"R023=40.6% ~ 46.3%")</f>
        <v>R023=40.6% ~ 46.3%</v>
      </c>
      <c r="U24" s="30" t="str">
        <f>IFERROR(__xludf.DUMMYFUNCTION("""COMPUTED_VALUE"""),"10-8-熱煙或毒性氣體危害至儲能空間以外")</f>
        <v>10-8-熱煙或毒性氣體危害至儲能空間以外</v>
      </c>
      <c r="V24" s="10" t="str">
        <f>IFERROR(__xludf.DUMMYFUNCTION("""COMPUTED_VALUE"""),"Impact 12")</f>
        <v>Impact 12</v>
      </c>
      <c r="W24" s="1"/>
      <c r="X24" s="1"/>
      <c r="Y24" s="1"/>
      <c r="Z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  <c r="Q25" s="1"/>
      <c r="R25" s="1"/>
      <c r="S25" s="1"/>
      <c r="T25" s="1"/>
      <c r="U25" s="32" t="str">
        <f>IFERROR(__xludf.DUMMYFUNCTION("""COMPUTED_VALUE"""),"R025=49.9% ~ 54.7%")</f>
        <v>R025=49.9% ~ 54.7%</v>
      </c>
      <c r="V25" s="10" t="str">
        <f>IFERROR(__xludf.DUMMYFUNCTION("""COMPUTED_VALUE"""),"P(12)=0.006%")</f>
        <v>P(12)=0.006%</v>
      </c>
      <c r="W25" s="1"/>
      <c r="X25" s="1"/>
      <c r="Y25" s="1"/>
      <c r="Z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IFERROR(__xludf.DUMMYFUNCTION("""COMPUTED_VALUE"""),"R027=61.1% ~ 67.5%")</f>
        <v>R027=61.1% ~ 67.5%</v>
      </c>
      <c r="M26" s="15"/>
      <c r="N26" s="10" t="str">
        <f>IFERROR(__xludf.DUMMYFUNCTION("""COMPUTED_VALUE"""),"P(13)=4.418%")</f>
        <v>P(13)=4.418%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IFERROR(__xludf.DUMMYFUNCTION("""COMPUTED_VALUE"""),"Impact 14")</f>
        <v>Impact 14</v>
      </c>
      <c r="Q27" s="1"/>
      <c r="R27" s="1"/>
      <c r="S27" s="1"/>
      <c r="T27" s="1"/>
      <c r="U27" s="8" t="str">
        <f>IFERROR(__xludf.DUMMYFUNCTION("""COMPUTED_VALUE"""),"10-9-熱煙或毒性氣體未危害至儲能空間以外")</f>
        <v>10-9-熱煙或毒性氣體未危害至儲能空間以外</v>
      </c>
      <c r="V27" s="10" t="str">
        <f>IFERROR(__xludf.DUMMYFUNCTION("""COMPUTED_VALUE"""),"Impact 16")</f>
        <v>Impact 16</v>
      </c>
      <c r="W27" s="1"/>
      <c r="X27" s="1"/>
      <c r="Y27" s="1"/>
      <c r="Z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IFERROR(__xludf.DUMMYFUNCTION("""COMPUTED_VALUE"""),"R026=72.4% ~ 75.0%")</f>
        <v>R026=72.4% ~ 75.0%</v>
      </c>
      <c r="K28" s="14"/>
      <c r="L28" s="7"/>
      <c r="M28" s="1"/>
      <c r="N28" s="13" t="str">
        <f>IFERROR(__xludf.DUMMYFUNCTION("""COMPUTED_VALUE"""),"R029=70.0% ~ 77.3%")</f>
        <v>R029=70.0% ~ 77.3%</v>
      </c>
      <c r="O28" s="15"/>
      <c r="P28" s="10" t="str">
        <f>IFERROR(__xludf.DUMMYFUNCTION("""COMPUTED_VALUE"""),"P(14)=1.784%")</f>
        <v>P(14)=1.784%</v>
      </c>
      <c r="Q28" s="1"/>
      <c r="R28" s="1"/>
      <c r="S28" s="1"/>
      <c r="T28" s="8" t="str">
        <f>IFERROR(__xludf.DUMMYFUNCTION("""COMPUTED_VALUE"""),"9-5-消防系統有效發揮冷卻作用")</f>
        <v>9-5-消防系統有效發揮冷卻作用</v>
      </c>
      <c r="U28" s="13" t="str">
        <f>IFERROR(__xludf.DUMMYFUNCTION("""COMPUTED_VALUE"""),"R035=56.6% ~ 62.6%")</f>
        <v>R035=56.6% ~ 62.6%</v>
      </c>
      <c r="V28" s="10" t="str">
        <f>IFERROR(__xludf.DUMMYFUNCTION("""COMPUTED_VALUE"""),"P(16)=0.015%")</f>
        <v>P(16)=0.015%</v>
      </c>
      <c r="W28" s="1"/>
      <c r="X28" s="1"/>
      <c r="Y28" s="1"/>
      <c r="Z28" s="1"/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8" t="str">
        <f>IFERROR(__xludf.DUMMYFUNCTION("""COMPUTED_VALUE"""),"7-3-未發生電池櫃熱失控傳播現象")</f>
        <v>7-3-未發生電池櫃熱失控傳播現象</v>
      </c>
      <c r="Q29" s="9"/>
      <c r="R29" s="10" t="str">
        <f>IFERROR(__xludf.DUMMYFUNCTION("""COMPUTED_VALUE"""),"Impact 15")</f>
        <v>Impact 15</v>
      </c>
      <c r="S29" s="1"/>
      <c r="T29" s="13" t="str">
        <f>IFERROR(__xludf.DUMMYFUNCTION("""COMPUTED_VALUE"""),"R034=63.2% ~ 69.9%")</f>
        <v>R034=63.2% ~ 69.9%</v>
      </c>
      <c r="U29" s="26"/>
      <c r="V29" s="1"/>
      <c r="W29" s="1"/>
      <c r="X29" s="1"/>
      <c r="Y29" s="1"/>
      <c r="Z29" s="1"/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IFERROR(__xludf.DUMMYFUNCTION("""COMPUTED_VALUE"""),"R028=32.5% ~ 38.9%")</f>
        <v>R028=32.5% ~ 38.9%</v>
      </c>
      <c r="M30" s="14"/>
      <c r="N30" s="7"/>
      <c r="O30" s="1"/>
      <c r="P30" s="13" t="str">
        <f>IFERROR(__xludf.DUMMYFUNCTION("""COMPUTED_VALUE"""),"R031=73.1% ~ 80.8%")</f>
        <v>R031=73.1% ~ 80.8%</v>
      </c>
      <c r="Q30" s="15"/>
      <c r="R30" s="10" t="str">
        <f>IFERROR(__xludf.DUMMYFUNCTION("""COMPUTED_VALUE"""),"P(15)=0.484%")</f>
        <v>P(15)=0.484%</v>
      </c>
      <c r="S30" s="1"/>
      <c r="T30" s="7"/>
      <c r="U30" s="30" t="str">
        <f>IFERROR(__xludf.DUMMYFUNCTION("""COMPUTED_VALUE"""),"10-10-熱煙或毒性氣體危害至儲能空間以外")</f>
        <v>10-10-熱煙或毒性氣體危害至儲能空間以外</v>
      </c>
      <c r="V30" s="10" t="str">
        <f>IFERROR(__xludf.DUMMYFUNCTION("""COMPUTED_VALUE"""),"Impact 17")</f>
        <v>Impact 17</v>
      </c>
      <c r="W30" s="1"/>
      <c r="X30" s="1"/>
      <c r="Y30" s="1"/>
      <c r="Z30" s="1"/>
    </row>
    <row r="31" ht="6.75" customHeight="1">
      <c r="A31" s="1"/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"/>
      <c r="N31" s="7"/>
      <c r="O31" s="1"/>
      <c r="P31" s="7"/>
      <c r="Q31" s="1"/>
      <c r="R31" s="8" t="str">
        <f>IFERROR(__xludf.DUMMYFUNCTION("""COMPUTED_VALUE"""),"8-3-可燃氣體濃度未達到LFL")</f>
        <v>8-3-可燃氣體濃度未達到LFL</v>
      </c>
      <c r="S31" s="20"/>
      <c r="T31" s="7"/>
      <c r="U31" s="32" t="str">
        <f>IFERROR(__xludf.DUMMYFUNCTION("""COMPUTED_VALUE"""),"R036=37.4% ~ 43.4%")</f>
        <v>R036=37.4% ~ 43.4%</v>
      </c>
      <c r="V31" s="10" t="str">
        <f>IFERROR(__xludf.DUMMYFUNCTION("""COMPUTED_VALUE"""),"P(17)=0.010%")</f>
        <v>P(17)=0.010%</v>
      </c>
      <c r="W31" s="1"/>
      <c r="X31" s="1"/>
      <c r="Y31" s="1"/>
      <c r="Z31" s="1"/>
    </row>
    <row r="32" ht="6.75" customHeight="1">
      <c r="A32" s="1"/>
      <c r="B32" s="1"/>
      <c r="C32" s="1"/>
      <c r="D32" s="8" t="str">
        <f>IFERROR(__xludf.DUMMYFUNCTION("""COMPUTED_VALUE"""),"1-1-值班室或EWCS通報電池異常")</f>
        <v>1-1-值班室或EWCS通報電池異常</v>
      </c>
      <c r="E32" s="20"/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20"/>
      <c r="P32" s="7"/>
      <c r="Q32" s="1"/>
      <c r="R32" s="13" t="str">
        <f>IFERROR(__xludf.DUMMYFUNCTION("""COMPUTED_VALUE"""),"R033=24.6% ~ 27.2%")</f>
        <v>R033=24.6% ~ 27.2%</v>
      </c>
      <c r="S32" s="14"/>
      <c r="T32" s="7"/>
      <c r="U32" s="1"/>
      <c r="V32" s="1"/>
      <c r="W32" s="1"/>
      <c r="X32" s="1"/>
      <c r="Y32" s="1"/>
      <c r="Z32" s="1"/>
    </row>
    <row r="33" ht="6.75" customHeight="1">
      <c r="A33" s="1"/>
      <c r="B33" s="1"/>
      <c r="C33" s="1"/>
      <c r="D33" s="13" t="str">
        <f>IFERROR(__xludf.DUMMYFUNCTION("""COMPUTED_VALUE"""),"R001=59.9% ~ 66.2%")</f>
        <v>R001=59.9% ~ 66.2%</v>
      </c>
      <c r="E33" s="14"/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IFERROR(__xludf.DUMMYFUNCTION("""COMPUTED_VALUE"""),"R030=22.7% ~ 30.0%")</f>
        <v>R030=22.7% ~ 30.0%</v>
      </c>
      <c r="O33" s="14"/>
      <c r="P33" s="7"/>
      <c r="Q33" s="1"/>
      <c r="R33" s="7"/>
      <c r="S33" s="1"/>
      <c r="T33" s="7"/>
      <c r="U33" s="8" t="str">
        <f>IFERROR(__xludf.DUMMYFUNCTION("""COMPUTED_VALUE"""),"10-11-熱煙或毒性氣體未危害至儲能空間以外")</f>
        <v>10-11-熱煙或毒性氣體未危害至儲能空間以外</v>
      </c>
      <c r="V33" s="10" t="str">
        <f>IFERROR(__xludf.DUMMYFUNCTION("""COMPUTED_VALUE"""),"Impact 18")</f>
        <v>Impact 18</v>
      </c>
      <c r="W33" s="1"/>
      <c r="X33" s="1"/>
      <c r="Y33" s="1"/>
      <c r="Z33" s="1"/>
    </row>
    <row r="34" ht="6.75" customHeight="1">
      <c r="A34" s="1"/>
      <c r="B34" s="1"/>
      <c r="C34" s="1"/>
      <c r="D34" s="7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7"/>
      <c r="Q34" s="1"/>
      <c r="R34" s="7"/>
      <c r="S34" s="1"/>
      <c r="T34" s="7"/>
      <c r="U34" s="13" t="str">
        <f>IFERROR(__xludf.DUMMYFUNCTION("""COMPUTED_VALUE"""),"R038=45.3% ~ 50.1%")</f>
        <v>R038=45.3% ~ 50.1%</v>
      </c>
      <c r="V34" s="10" t="str">
        <f>IFERROR(__xludf.DUMMYFUNCTION("""COMPUTED_VALUE"""),"P(18)=0.006%")</f>
        <v>P(18)=0.006%</v>
      </c>
      <c r="W34" s="1"/>
      <c r="X34" s="1"/>
      <c r="Y34" s="1"/>
      <c r="Z34" s="1"/>
    </row>
    <row r="35" ht="6.75" customHeight="1">
      <c r="A35" s="1"/>
      <c r="B35" s="1"/>
      <c r="C35" s="1"/>
      <c r="D35" s="7"/>
      <c r="E35" s="1"/>
      <c r="F35" s="7"/>
      <c r="G35" s="1"/>
      <c r="H35" s="1"/>
      <c r="I35" s="1"/>
      <c r="J35" s="1"/>
      <c r="K35" s="1"/>
      <c r="L35" s="1"/>
      <c r="M35" s="1"/>
      <c r="N35" s="1"/>
      <c r="O35" s="1"/>
      <c r="P35" s="7"/>
      <c r="Q35" s="1"/>
      <c r="R35" s="7"/>
      <c r="S35" s="1"/>
      <c r="T35" s="30" t="str">
        <f>IFERROR(__xludf.DUMMYFUNCTION("""COMPUTED_VALUE"""),"9-6-消防系統無法發揮冷卻作用")</f>
        <v>9-6-消防系統無法發揮冷卻作用</v>
      </c>
      <c r="U35" s="26"/>
      <c r="V35" s="1"/>
      <c r="W35" s="1"/>
      <c r="X35" s="1"/>
      <c r="Y35" s="1"/>
      <c r="Z35" s="1"/>
    </row>
    <row r="36" ht="6.75" customHeight="1">
      <c r="A36" s="1"/>
      <c r="B36" s="1"/>
      <c r="C36" s="1"/>
      <c r="D36" s="7"/>
      <c r="E36" s="1"/>
      <c r="F36" s="7"/>
      <c r="G36" s="1"/>
      <c r="H36" s="1"/>
      <c r="I36" s="1"/>
      <c r="J36" s="1"/>
      <c r="K36" s="1"/>
      <c r="L36" s="1"/>
      <c r="M36" s="1"/>
      <c r="N36" s="1"/>
      <c r="O36" s="1"/>
      <c r="P36" s="30" t="str">
        <f>IFERROR(__xludf.DUMMYFUNCTION("""COMPUTED_VALUE"""),"7-4-發生電池櫃熱失控傳播現象")</f>
        <v>7-4-發生電池櫃熱失控傳播現象</v>
      </c>
      <c r="Q36" s="20"/>
      <c r="R36" s="7"/>
      <c r="S36" s="1"/>
      <c r="T36" s="32" t="str">
        <f>IFERROR(__xludf.DUMMYFUNCTION("""COMPUTED_VALUE"""),"R037=30.1% ~ 36.8%")</f>
        <v>R037=30.1% ~ 36.8%</v>
      </c>
      <c r="U36" s="30" t="str">
        <f>IFERROR(__xludf.DUMMYFUNCTION("""COMPUTED_VALUE"""),"10-12-熱煙或毒性氣體危害至儲能空間以外")</f>
        <v>10-12-熱煙或毒性氣體危害至儲能空間以外</v>
      </c>
      <c r="V36" s="10" t="str">
        <f>IFERROR(__xludf.DUMMYFUNCTION("""COMPUTED_VALUE"""),"Impact 19")</f>
        <v>Impact 19</v>
      </c>
      <c r="W36" s="1"/>
      <c r="X36" s="1"/>
      <c r="Y36" s="1"/>
      <c r="Z36" s="1"/>
    </row>
    <row r="37" ht="6.75" customHeight="1">
      <c r="A37" s="1"/>
      <c r="B37" s="1"/>
      <c r="C37" s="1"/>
      <c r="D37" s="40"/>
      <c r="E37" s="1"/>
      <c r="F37" s="7"/>
      <c r="G37" s="1"/>
      <c r="H37" s="1"/>
      <c r="I37" s="1"/>
      <c r="J37" s="1"/>
      <c r="K37" s="1"/>
      <c r="L37" s="1"/>
      <c r="M37" s="1"/>
      <c r="N37" s="1"/>
      <c r="O37" s="1"/>
      <c r="P37" s="32" t="str">
        <f>IFERROR(__xludf.DUMMYFUNCTION("""COMPUTED_VALUE"""),"R032=19.2% ~ 26.9%")</f>
        <v>R032=19.2% ~ 26.9%</v>
      </c>
      <c r="Q37" s="14"/>
      <c r="R37" s="7"/>
      <c r="S37" s="1"/>
      <c r="T37" s="1"/>
      <c r="U37" s="32" t="str">
        <f>IFERROR(__xludf.DUMMYFUNCTION("""COMPUTED_VALUE"""),"R039=49.9% ~ 54.7%")</f>
        <v>R039=49.9% ~ 54.7%</v>
      </c>
      <c r="V37" s="10" t="str">
        <f>IFERROR(__xludf.DUMMYFUNCTION("""COMPUTED_VALUE"""),"P(19)=0.007%")</f>
        <v>P(19)=0.007%</v>
      </c>
      <c r="W37" s="1"/>
      <c r="X37" s="1"/>
      <c r="Y37" s="1"/>
      <c r="Z37" s="1"/>
    </row>
    <row r="38" ht="6.75" customHeight="1">
      <c r="A38" s="1"/>
      <c r="B38" s="1"/>
      <c r="C38" s="1"/>
      <c r="D38" s="40"/>
      <c r="E38" s="1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7"/>
      <c r="S38" s="1"/>
      <c r="T38" s="1"/>
      <c r="U38" s="1"/>
      <c r="V38" s="1"/>
      <c r="W38" s="1"/>
      <c r="X38" s="1"/>
      <c r="Y38" s="1"/>
      <c r="Z38" s="1"/>
    </row>
    <row r="39" ht="6.75" customHeight="1">
      <c r="A39" s="1"/>
      <c r="B39" s="1"/>
      <c r="C39" s="1"/>
      <c r="D39" s="7"/>
      <c r="E39" s="1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7"/>
      <c r="S39" s="1"/>
      <c r="T39" s="1"/>
      <c r="U39" s="8" t="str">
        <f>IFERROR(__xludf.DUMMYFUNCTION("""COMPUTED_VALUE"""),"10-13-熱煙或毒性氣體未危害至儲能空間以外")</f>
        <v>10-13-熱煙或毒性氣體未危害至儲能空間以外</v>
      </c>
      <c r="V39" s="10" t="str">
        <f>IFERROR(__xludf.DUMMYFUNCTION("""COMPUTED_VALUE"""),"Impact 20")</f>
        <v>Impact 20</v>
      </c>
      <c r="W39" s="1"/>
      <c r="X39" s="1"/>
      <c r="Y39" s="1"/>
      <c r="Z39" s="1"/>
    </row>
    <row r="40" ht="6.75" customHeight="1">
      <c r="A40" s="1"/>
      <c r="B40" s="1"/>
      <c r="C40" s="1"/>
      <c r="D40" s="7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7"/>
      <c r="S40" s="1"/>
      <c r="T40" s="8" t="str">
        <f>IFERROR(__xludf.DUMMYFUNCTION("""COMPUTED_VALUE"""),"9-7-消防系統有效發揮冷卻作用")</f>
        <v>9-7-消防系統有效發揮冷卻作用</v>
      </c>
      <c r="U40" s="13" t="str">
        <f>IFERROR(__xludf.DUMMYFUNCTION("""COMPUTED_VALUE"""),"R042=56.6% ~ 62.6%")</f>
        <v>R042=56.6% ~ 62.6%</v>
      </c>
      <c r="V40" s="10" t="str">
        <f>IFERROR(__xludf.DUMMYFUNCTION("""COMPUTED_VALUE"""),"P(20)=0.036%")</f>
        <v>P(20)=0.036%</v>
      </c>
      <c r="W40" s="1"/>
      <c r="X40" s="1"/>
      <c r="Y40" s="1"/>
      <c r="Z40" s="1"/>
    </row>
    <row r="41" ht="6.75" customHeight="1">
      <c r="A41" s="1"/>
      <c r="B41" s="1"/>
      <c r="C41" s="1"/>
      <c r="D41" s="7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7"/>
      <c r="S41" s="1"/>
      <c r="T41" s="13" t="str">
        <f>IFERROR(__xludf.DUMMYFUNCTION("""COMPUTED_VALUE"""),"R041=53.7% ~ 59.4%")</f>
        <v>R041=53.7% ~ 59.4%</v>
      </c>
      <c r="U41" s="26"/>
      <c r="V41" s="1"/>
      <c r="W41" s="1"/>
      <c r="X41" s="1"/>
      <c r="Y41" s="1"/>
      <c r="Z41" s="1"/>
    </row>
    <row r="42" ht="6.75" customHeight="1">
      <c r="A42" s="1"/>
      <c r="B42" s="1"/>
      <c r="C42" s="1"/>
      <c r="D42" s="7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24"/>
      <c r="R42" s="1"/>
      <c r="S42" s="24"/>
      <c r="T42" s="1"/>
      <c r="U42" s="30" t="str">
        <f>IFERROR(__xludf.DUMMYFUNCTION("""COMPUTED_VALUE"""),"10-14-熱煙或毒性氣體危害至儲能空間以外")</f>
        <v>10-14-熱煙或毒性氣體危害至儲能空間以外</v>
      </c>
      <c r="V42" s="10" t="str">
        <f>IFERROR(__xludf.DUMMYFUNCTION("""COMPUTED_VALUE"""),"Impact 21")</f>
        <v>Impact 21</v>
      </c>
      <c r="W42" s="1"/>
      <c r="X42" s="1"/>
      <c r="Y42" s="1"/>
      <c r="Z42" s="1"/>
    </row>
    <row r="43" ht="6.75" customHeight="1">
      <c r="A43" s="1"/>
      <c r="B43" s="1"/>
      <c r="C43" s="1"/>
      <c r="D43" s="7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 t="str">
        <f>IFERROR(__xludf.DUMMYFUNCTION("""COMPUTED_VALUE"""),"8-4-可燃氣體濃度達到LFL")</f>
        <v>8-4-可燃氣體濃度達到LFL</v>
      </c>
      <c r="S43" s="20"/>
      <c r="T43" s="7"/>
      <c r="U43" s="32" t="str">
        <f>IFERROR(__xludf.DUMMYFUNCTION("""COMPUTED_VALUE"""),"R043=37.4% ~ 43.4%")</f>
        <v>R043=37.4% ~ 43.4%</v>
      </c>
      <c r="V43" s="10" t="str">
        <f>IFERROR(__xludf.DUMMYFUNCTION("""COMPUTED_VALUE"""),"P(21)=0.025%")</f>
        <v>P(21)=0.025%</v>
      </c>
      <c r="W43" s="1"/>
      <c r="X43" s="1"/>
      <c r="Y43" s="1"/>
      <c r="Z43" s="1"/>
    </row>
    <row r="44" ht="6.75" customHeight="1">
      <c r="A44" s="1"/>
      <c r="B44" s="1"/>
      <c r="C44" s="1"/>
      <c r="D44" s="7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 t="str">
        <f>IFERROR(__xludf.DUMMYFUNCTION("""COMPUTED_VALUE"""),"R040=72.8% ~ 75.4%")</f>
        <v>R040=72.8% ~ 75.4%</v>
      </c>
      <c r="S44" s="14"/>
      <c r="T44" s="7"/>
      <c r="U44" s="1"/>
      <c r="V44" s="1"/>
      <c r="W44" s="1"/>
      <c r="X44" s="1"/>
      <c r="Y44" s="1"/>
      <c r="Z44" s="1"/>
    </row>
    <row r="45" ht="6.75" customHeight="1">
      <c r="A45" s="1"/>
      <c r="B45" s="1"/>
      <c r="C45" s="1"/>
      <c r="D45" s="7"/>
      <c r="E45" s="1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"/>
      <c r="U45" s="8" t="str">
        <f>IFERROR(__xludf.DUMMYFUNCTION("""COMPUTED_VALUE"""),"10-15-熱煙或毒性氣體未危害至儲能空間以外")</f>
        <v>10-15-熱煙或毒性氣體未危害至儲能空間以外</v>
      </c>
      <c r="V45" s="10" t="str">
        <f>IFERROR(__xludf.DUMMYFUNCTION("""COMPUTED_VALUE"""),"Impact 22")</f>
        <v>Impact 22</v>
      </c>
      <c r="W45" s="1"/>
      <c r="X45" s="1"/>
      <c r="Y45" s="1"/>
      <c r="Z45" s="1"/>
    </row>
    <row r="46" ht="6.75" customHeight="1">
      <c r="A46" s="1"/>
      <c r="B46" s="1"/>
      <c r="C46" s="1"/>
      <c r="D46" s="7"/>
      <c r="E46" s="1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"/>
      <c r="U46" s="13" t="str">
        <f>IFERROR(__xludf.DUMMYFUNCTION("""COMPUTED_VALUE"""),"R045=45.3% ~ 50.1%")</f>
        <v>R045=45.3% ~ 50.1%</v>
      </c>
      <c r="V46" s="10" t="str">
        <f>IFERROR(__xludf.DUMMYFUNCTION("""COMPUTED_VALUE"""),"P(22)=0.022%")</f>
        <v>P(22)=0.022%</v>
      </c>
      <c r="W46" s="1"/>
      <c r="X46" s="1"/>
      <c r="Y46" s="1"/>
      <c r="Z46" s="1"/>
    </row>
    <row r="47" ht="6.75" customHeight="1">
      <c r="A47" s="1"/>
      <c r="B47" s="1"/>
      <c r="C47" s="1"/>
      <c r="D47" s="7"/>
      <c r="E47" s="1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0" t="str">
        <f>IFERROR(__xludf.DUMMYFUNCTION("""COMPUTED_VALUE"""),"9-8-消防系統無法發揮冷卻作用")</f>
        <v>9-8-消防系統無法發揮冷卻作用</v>
      </c>
      <c r="U47" s="26"/>
      <c r="V47" s="1"/>
      <c r="W47" s="1"/>
      <c r="X47" s="1"/>
      <c r="Y47" s="1"/>
      <c r="Z47" s="1"/>
    </row>
    <row r="48" ht="6.75" customHeight="1">
      <c r="A48" s="1"/>
      <c r="B48" s="1"/>
      <c r="C48" s="1"/>
      <c r="D48" s="7"/>
      <c r="E48" s="1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2" t="str">
        <f>IFERROR(__xludf.DUMMYFUNCTION("""COMPUTED_VALUE"""),"R044=40.6% ~ 46.3%")</f>
        <v>R044=40.6% ~ 46.3%</v>
      </c>
      <c r="U48" s="30" t="str">
        <f>IFERROR(__xludf.DUMMYFUNCTION("""COMPUTED_VALUE"""),"10-16-熱煙或毒性氣體危害至儲能空間以外")</f>
        <v>10-16-熱煙或毒性氣體危害至儲能空間以外</v>
      </c>
      <c r="V48" s="10" t="str">
        <f>IFERROR(__xludf.DUMMYFUNCTION("""COMPUTED_VALUE"""),"Impact 23")</f>
        <v>Impact 23</v>
      </c>
      <c r="W48" s="1"/>
      <c r="X48" s="1"/>
      <c r="Y48" s="1"/>
      <c r="Z48" s="1"/>
    </row>
    <row r="49" ht="6.75" customHeight="1">
      <c r="A49" s="1"/>
      <c r="B49" s="1"/>
      <c r="C49" s="1"/>
      <c r="D49" s="7"/>
      <c r="E49" s="1"/>
      <c r="F49" s="7"/>
      <c r="G49" s="1"/>
      <c r="H49" s="8" t="str">
        <f>IFERROR(__xludf.DUMMYFUNCTION("""COMPUTED_VALUE"""),"3-3-電芯未發生熱失控")</f>
        <v>3-3-電芯未發生熱失控</v>
      </c>
      <c r="I49" s="9"/>
      <c r="J49" s="10" t="str">
        <f>IFERROR(__xludf.DUMMYFUNCTION("""COMPUTED_VALUE"""),"Impact 24")</f>
        <v>Impact 24</v>
      </c>
      <c r="K49" s="1"/>
      <c r="L49" s="8" t="str">
        <f>IFERROR(__xludf.DUMMYFUNCTION("""COMPUTED_VALUE"""),"5-5-未發生電芯熱失控傳播現象")</f>
        <v>5-5-未發生電芯熱失控傳播現象</v>
      </c>
      <c r="M49" s="9"/>
      <c r="N49" s="10" t="str">
        <f>IFERROR(__xludf.DUMMYFUNCTION("""COMPUTED_VALUE"""),"Impact 25")</f>
        <v>Impact 25</v>
      </c>
      <c r="O49" s="1"/>
      <c r="P49" s="1"/>
      <c r="Q49" s="1"/>
      <c r="R49" s="1"/>
      <c r="S49" s="1"/>
      <c r="T49" s="1"/>
      <c r="U49" s="32" t="str">
        <f>IFERROR(__xludf.DUMMYFUNCTION("""COMPUTED_VALUE"""),"R046=49.9% ~ 54.7%")</f>
        <v>R046=49.9% ~ 54.7%</v>
      </c>
      <c r="V49" s="10" t="str">
        <f>IFERROR(__xludf.DUMMYFUNCTION("""COMPUTED_VALUE"""),"P(23)=0.024%")</f>
        <v>P(23)=0.024%</v>
      </c>
      <c r="W49" s="1"/>
      <c r="X49" s="1"/>
      <c r="Y49" s="1"/>
      <c r="Z49" s="1"/>
    </row>
    <row r="50" ht="6.75" customHeight="1">
      <c r="A50" s="1"/>
      <c r="B50" s="1"/>
      <c r="C50" s="1"/>
      <c r="D50" s="7"/>
      <c r="E50" s="1"/>
      <c r="F50" s="7"/>
      <c r="G50" s="1"/>
      <c r="H50" s="13" t="str">
        <f>IFERROR(__xludf.DUMMYFUNCTION("""COMPUTED_VALUE"""),"R048=22.6% ~ 24.9%")</f>
        <v>R048=22.6% ~ 24.9%</v>
      </c>
      <c r="I50" s="15"/>
      <c r="J50" s="10" t="str">
        <f>IFERROR(__xludf.DUMMYFUNCTION("""COMPUTED_VALUE"""),"P(24)=4.237%")</f>
        <v>P(24)=4.237%</v>
      </c>
      <c r="K50" s="1"/>
      <c r="L50" s="13" t="str">
        <f>IFERROR(__xludf.DUMMYFUNCTION("""COMPUTED_VALUE"""),"R051=61.1% ~ 67.5%")</f>
        <v>R051=61.1% ~ 67.5%</v>
      </c>
      <c r="M50" s="15"/>
      <c r="N50" s="10" t="str">
        <f>IFERROR(__xludf.DUMMYFUNCTION("""COMPUTED_VALUE"""),"P(25)=1.815%")</f>
        <v>P(25)=1.815%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6.75" customHeight="1">
      <c r="A51" s="1"/>
      <c r="B51" s="1"/>
      <c r="C51" s="1"/>
      <c r="D51" s="7"/>
      <c r="E51" s="1"/>
      <c r="F51" s="7"/>
      <c r="G51" s="1"/>
      <c r="H51" s="7"/>
      <c r="I51" s="1"/>
      <c r="J51" s="31"/>
      <c r="K51" s="1"/>
      <c r="L51" s="7"/>
      <c r="M51" s="1"/>
      <c r="N51" s="8" t="str">
        <f>IFERROR(__xludf.DUMMYFUNCTION("""COMPUTED_VALUE"""),"6-5-未發生模組熱失控傳播現象")</f>
        <v>6-5-未發生模組熱失控傳播現象</v>
      </c>
      <c r="O51" s="9"/>
      <c r="P51" s="10" t="str">
        <f>IFERROR(__xludf.DUMMYFUNCTION("""COMPUTED_VALUE"""),"Impact 26")</f>
        <v>Impact 26</v>
      </c>
      <c r="Q51" s="1"/>
      <c r="R51" s="1"/>
      <c r="S51" s="1"/>
      <c r="T51" s="1"/>
      <c r="U51" s="8" t="str">
        <f>IFERROR(__xludf.DUMMYFUNCTION("""COMPUTED_VALUE"""),"10-17-熱煙或毒性氣體未危害至儲能空間以外")</f>
        <v>10-17-熱煙或毒性氣體未危害至儲能空間以外</v>
      </c>
      <c r="V51" s="10" t="str">
        <f>IFERROR(__xludf.DUMMYFUNCTION("""COMPUTED_VALUE"""),"Impact 28")</f>
        <v>Impact 28</v>
      </c>
      <c r="W51" s="1"/>
      <c r="X51" s="1"/>
      <c r="Y51" s="1"/>
      <c r="Z51" s="1"/>
    </row>
    <row r="52" ht="6.75" customHeight="1">
      <c r="A52" s="1"/>
      <c r="B52" s="1"/>
      <c r="C52" s="1"/>
      <c r="D52" s="7"/>
      <c r="E52" s="1"/>
      <c r="F52" s="7"/>
      <c r="G52" s="1"/>
      <c r="H52" s="7"/>
      <c r="I52" s="1"/>
      <c r="J52" s="8" t="str">
        <f>IFERROR(__xludf.DUMMYFUNCTION("""COMPUTED_VALUE"""),"4-3-通風排出裝置啟動")</f>
        <v>4-3-通風排出裝置啟動</v>
      </c>
      <c r="K52" s="20"/>
      <c r="L52" s="7"/>
      <c r="M52" s="1"/>
      <c r="N52" s="13" t="str">
        <f>IFERROR(__xludf.DUMMYFUNCTION("""COMPUTED_VALUE"""),"R053=70.0% ~ 77.3%")</f>
        <v>R053=70.0% ~ 77.3%</v>
      </c>
      <c r="O52" s="15"/>
      <c r="P52" s="10" t="str">
        <f>IFERROR(__xludf.DUMMYFUNCTION("""COMPUTED_VALUE"""),"P(26)=0.736%")</f>
        <v>P(26)=0.736%</v>
      </c>
      <c r="Q52" s="1"/>
      <c r="R52" s="1"/>
      <c r="S52" s="1"/>
      <c r="T52" s="8" t="str">
        <f>IFERROR(__xludf.DUMMYFUNCTION("""COMPUTED_VALUE"""),"9-9-消防系統有效發揮冷卻作用")</f>
        <v>9-9-消防系統有效發揮冷卻作用</v>
      </c>
      <c r="U52" s="13" t="str">
        <f>IFERROR(__xludf.DUMMYFUNCTION("""COMPUTED_VALUE"""),"R059=56.6% ~ 62.6%")</f>
        <v>R059=56.6% ~ 62.6%</v>
      </c>
      <c r="V52" s="10" t="str">
        <f>IFERROR(__xludf.DUMMYFUNCTION("""COMPUTED_VALUE"""),"P(28)=0.013%")</f>
        <v>P(28)=0.013%</v>
      </c>
      <c r="W52" s="1"/>
      <c r="X52" s="1"/>
      <c r="Y52" s="1"/>
      <c r="Z52" s="1"/>
    </row>
    <row r="53" ht="6.75" customHeight="1">
      <c r="A53" s="1"/>
      <c r="B53" s="1"/>
      <c r="C53" s="1"/>
      <c r="D53" s="7"/>
      <c r="E53" s="1"/>
      <c r="F53" s="7"/>
      <c r="G53" s="1"/>
      <c r="H53" s="7"/>
      <c r="I53" s="24"/>
      <c r="J53" s="25" t="str">
        <f>IFERROR(__xludf.DUMMYFUNCTION("""COMPUTED_VALUE"""),"R050=19.7% ~ 21.7%")</f>
        <v>R050=19.7% ~ 21.7%</v>
      </c>
      <c r="K53" s="14"/>
      <c r="L53" s="7"/>
      <c r="M53" s="1"/>
      <c r="N53" s="7"/>
      <c r="O53" s="1"/>
      <c r="P53" s="8" t="str">
        <f>IFERROR(__xludf.DUMMYFUNCTION("""COMPUTED_VALUE"""),"7-5-未發生電池櫃熱失控傳播現象")</f>
        <v>7-5-未發生電池櫃熱失控傳播現象</v>
      </c>
      <c r="Q53" s="9"/>
      <c r="R53" s="10" t="str">
        <f>IFERROR(__xludf.DUMMYFUNCTION("""COMPUTED_VALUE"""),"Impact 27")</f>
        <v>Impact 27</v>
      </c>
      <c r="S53" s="1"/>
      <c r="T53" s="13" t="str">
        <f>IFERROR(__xludf.DUMMYFUNCTION("""COMPUTED_VALUE"""),"R058=63.2% ~ 69.9%")</f>
        <v>R058=63.2% ~ 69.9%</v>
      </c>
      <c r="U53" s="26"/>
      <c r="V53" s="1"/>
      <c r="W53" s="1"/>
      <c r="X53" s="1"/>
      <c r="Y53" s="1"/>
      <c r="Z53" s="1"/>
    </row>
    <row r="54" ht="6.75" customHeight="1">
      <c r="A54" s="1"/>
      <c r="B54" s="1"/>
      <c r="C54" s="1"/>
      <c r="D54" s="7"/>
      <c r="E54" s="1"/>
      <c r="F54" s="7"/>
      <c r="G54" s="1"/>
      <c r="H54" s="7"/>
      <c r="I54" s="24"/>
      <c r="J54" s="1"/>
      <c r="K54" s="24"/>
      <c r="L54" s="30" t="str">
        <f>IFERROR(__xludf.DUMMYFUNCTION("""COMPUTED_VALUE"""),"5-6-發生電芯熱失控傳播現象")</f>
        <v>5-6-發生電芯熱失控傳播現象</v>
      </c>
      <c r="M54" s="20"/>
      <c r="N54" s="7"/>
      <c r="O54" s="1"/>
      <c r="P54" s="13" t="str">
        <f>IFERROR(__xludf.DUMMYFUNCTION("""COMPUTED_VALUE"""),"R055=73.1% ~ 80.8%")</f>
        <v>R055=73.1% ~ 80.8%</v>
      </c>
      <c r="Q54" s="15"/>
      <c r="R54" s="10" t="str">
        <f>IFERROR(__xludf.DUMMYFUNCTION("""COMPUTED_VALUE"""),"P(27)=0.207%")</f>
        <v>P(27)=0.207%</v>
      </c>
      <c r="S54" s="24"/>
      <c r="T54" s="1"/>
      <c r="U54" s="30" t="str">
        <f>IFERROR(__xludf.DUMMYFUNCTION("""COMPUTED_VALUE"""),"10-18-熱煙或毒性氣體危害至儲能空間以外")</f>
        <v>10-18-熱煙或毒性氣體危害至儲能空間以外</v>
      </c>
      <c r="V54" s="10" t="str">
        <f>IFERROR(__xludf.DUMMYFUNCTION("""COMPUTED_VALUE"""),"Impact 29")</f>
        <v>Impact 29</v>
      </c>
      <c r="W54" s="1"/>
      <c r="X54" s="1"/>
      <c r="Y54" s="1"/>
      <c r="Z54" s="1"/>
    </row>
    <row r="55" ht="6.75" customHeight="1">
      <c r="A55" s="1"/>
      <c r="B55" s="1"/>
      <c r="C55" s="1"/>
      <c r="D55" s="7"/>
      <c r="E55" s="1"/>
      <c r="F55" s="7"/>
      <c r="G55" s="1"/>
      <c r="H55" s="7"/>
      <c r="I55" s="24"/>
      <c r="J55" s="1"/>
      <c r="K55" s="1"/>
      <c r="L55" s="32" t="str">
        <f>IFERROR(__xludf.DUMMYFUNCTION("""COMPUTED_VALUE"""),"R052=32.5% ~ 38.9%")</f>
        <v>R052=32.5% ~ 38.9%</v>
      </c>
      <c r="M55" s="14"/>
      <c r="N55" s="7"/>
      <c r="O55" s="1"/>
      <c r="P55" s="7"/>
      <c r="Q55" s="1"/>
      <c r="R55" s="8" t="str">
        <f>IFERROR(__xludf.DUMMYFUNCTION("""COMPUTED_VALUE"""),"8-5-可燃氣體濃度未達到LFL")</f>
        <v>8-5-可燃氣體濃度未達到LFL</v>
      </c>
      <c r="S55" s="20"/>
      <c r="T55" s="7"/>
      <c r="U55" s="32" t="str">
        <f>IFERROR(__xludf.DUMMYFUNCTION("""COMPUTED_VALUE"""),"R060=37.4% ~ 43.4%")</f>
        <v>R060=37.4% ~ 43.4%</v>
      </c>
      <c r="V55" s="10" t="str">
        <f>IFERROR(__xludf.DUMMYFUNCTION("""COMPUTED_VALUE"""),"P(29)=0.009%")</f>
        <v>P(29)=0.009%</v>
      </c>
      <c r="W55" s="1"/>
      <c r="X55" s="1"/>
      <c r="Y55" s="1"/>
      <c r="Z55" s="1"/>
    </row>
    <row r="56" ht="6.75" customHeight="1">
      <c r="A56" s="1"/>
      <c r="B56" s="1"/>
      <c r="C56" s="1"/>
      <c r="D56" s="7"/>
      <c r="E56" s="1"/>
      <c r="F56" s="30" t="str">
        <f>IFERROR(__xludf.DUMMYFUNCTION("""COMPUTED_VALUE"""),"2-2-BESS未緊急安全關斷")</f>
        <v>2-2-BESS未緊急安全關斷</v>
      </c>
      <c r="G56" s="20"/>
      <c r="H56" s="7"/>
      <c r="I56" s="24"/>
      <c r="J56" s="1"/>
      <c r="K56" s="1"/>
      <c r="L56" s="1"/>
      <c r="M56" s="24"/>
      <c r="N56" s="1"/>
      <c r="O56" s="24"/>
      <c r="P56" s="1"/>
      <c r="Q56" s="1"/>
      <c r="R56" s="13" t="str">
        <f>IFERROR(__xludf.DUMMYFUNCTION("""COMPUTED_VALUE"""),"R057=49.2% ~ 54.4%")</f>
        <v>R057=49.2% ~ 54.4%</v>
      </c>
      <c r="S56" s="14"/>
      <c r="T56" s="7"/>
      <c r="U56" s="1"/>
      <c r="V56" s="1"/>
      <c r="W56" s="1"/>
      <c r="X56" s="1"/>
      <c r="Y56" s="1"/>
      <c r="Z56" s="1"/>
    </row>
    <row r="57" ht="6.75" customHeight="1">
      <c r="A57" s="1"/>
      <c r="B57" s="1"/>
      <c r="C57" s="1"/>
      <c r="D57" s="7"/>
      <c r="E57" s="1"/>
      <c r="F57" s="32" t="str">
        <f>IFERROR(__xludf.DUMMYFUNCTION("""COMPUTED_VALUE"""),"R047=24.8% ~ 31.9%")</f>
        <v>R047=24.8% ~ 31.9%</v>
      </c>
      <c r="G57" s="14"/>
      <c r="H57" s="7"/>
      <c r="I57" s="24"/>
      <c r="J57" s="31"/>
      <c r="K57" s="1"/>
      <c r="L57" s="1"/>
      <c r="M57" s="1"/>
      <c r="N57" s="30" t="str">
        <f>IFERROR(__xludf.DUMMYFUNCTION("""COMPUTED_VALUE"""),"6-6-發生模組熱失控傳播現象")</f>
        <v>6-6-發生模組熱失控傳播現象</v>
      </c>
      <c r="O57" s="20"/>
      <c r="P57" s="7"/>
      <c r="Q57" s="1"/>
      <c r="R57" s="7"/>
      <c r="S57" s="1"/>
      <c r="T57" s="7"/>
      <c r="U57" s="8" t="str">
        <f>IFERROR(__xludf.DUMMYFUNCTION("""COMPUTED_VALUE"""),"10-19-熱煙或毒性氣體未危害至儲能空間以外")</f>
        <v>10-19-熱煙或毒性氣體未危害至儲能空間以外</v>
      </c>
      <c r="V57" s="10" t="str">
        <f>IFERROR(__xludf.DUMMYFUNCTION("""COMPUTED_VALUE"""),"Impact 30")</f>
        <v>Impact 30</v>
      </c>
      <c r="W57" s="1"/>
      <c r="X57" s="1"/>
      <c r="Y57" s="1"/>
      <c r="Z57" s="1"/>
    </row>
    <row r="58" ht="6.75" customHeight="1">
      <c r="A58" s="1"/>
      <c r="B58" s="1"/>
      <c r="C58" s="1"/>
      <c r="D58" s="7"/>
      <c r="E58" s="1"/>
      <c r="F58" s="1"/>
      <c r="G58" s="24"/>
      <c r="H58" s="7"/>
      <c r="I58" s="24"/>
      <c r="J58" s="31"/>
      <c r="K58" s="1"/>
      <c r="L58" s="1"/>
      <c r="M58" s="1"/>
      <c r="N58" s="32" t="str">
        <f>IFERROR(__xludf.DUMMYFUNCTION("""COMPUTED_VALUE"""),"R054=22.7% ~ 30.0%")</f>
        <v>R054=22.7% ~ 30.0%</v>
      </c>
      <c r="O58" s="14"/>
      <c r="P58" s="7"/>
      <c r="Q58" s="1"/>
      <c r="R58" s="7"/>
      <c r="S58" s="1"/>
      <c r="T58" s="7"/>
      <c r="U58" s="13" t="str">
        <f>IFERROR(__xludf.DUMMYFUNCTION("""COMPUTED_VALUE"""),"R062=45.3% ~ 50.1%")</f>
        <v>R062=45.3% ~ 50.1%</v>
      </c>
      <c r="V58" s="10" t="str">
        <f>IFERROR(__xludf.DUMMYFUNCTION("""COMPUTED_VALUE"""),"P(30)=0.005%")</f>
        <v>P(30)=0.005%</v>
      </c>
      <c r="W58" s="1"/>
      <c r="X58" s="1"/>
      <c r="Y58" s="1"/>
      <c r="Z58" s="1"/>
    </row>
    <row r="59" ht="6.75" customHeight="1">
      <c r="A59" s="1"/>
      <c r="B59" s="1"/>
      <c r="C59" s="1"/>
      <c r="D59" s="7"/>
      <c r="E59" s="1"/>
      <c r="F59" s="1"/>
      <c r="G59" s="1"/>
      <c r="H59" s="7"/>
      <c r="I59" s="24"/>
      <c r="J59" s="1"/>
      <c r="K59" s="1"/>
      <c r="L59" s="1"/>
      <c r="M59" s="1"/>
      <c r="N59" s="1"/>
      <c r="O59" s="1"/>
      <c r="P59" s="7"/>
      <c r="Q59" s="1"/>
      <c r="R59" s="7"/>
      <c r="S59" s="1"/>
      <c r="T59" s="30" t="str">
        <f>IFERROR(__xludf.DUMMYFUNCTION("""COMPUTED_VALUE"""),"9-10-消防系統無法發揮冷卻作用")</f>
        <v>9-10-消防系統無法發揮冷卻作用</v>
      </c>
      <c r="U59" s="26"/>
      <c r="V59" s="1"/>
      <c r="W59" s="1"/>
      <c r="X59" s="1"/>
      <c r="Y59" s="1"/>
      <c r="Z59" s="1"/>
    </row>
    <row r="60" ht="6.75" customHeight="1">
      <c r="A60" s="1"/>
      <c r="B60" s="1"/>
      <c r="C60" s="1"/>
      <c r="D60" s="7"/>
      <c r="E60" s="1"/>
      <c r="F60" s="1"/>
      <c r="G60" s="1"/>
      <c r="H60" s="7"/>
      <c r="I60" s="24"/>
      <c r="J60" s="1"/>
      <c r="K60" s="1"/>
      <c r="L60" s="1"/>
      <c r="M60" s="1"/>
      <c r="N60" s="1"/>
      <c r="O60" s="24"/>
      <c r="P60" s="1"/>
      <c r="Q60" s="24"/>
      <c r="R60" s="1"/>
      <c r="S60" s="1"/>
      <c r="T60" s="32" t="str">
        <f>IFERROR(__xludf.DUMMYFUNCTION("""COMPUTED_VALUE"""),"R061=30.1% ~ 36.8%")</f>
        <v>R061=30.1% ~ 36.8%</v>
      </c>
      <c r="U60" s="30" t="str">
        <f>IFERROR(__xludf.DUMMYFUNCTION("""COMPUTED_VALUE"""),"10-20-熱煙或毒性氣體危害至儲能空間以外")</f>
        <v>10-20-熱煙或毒性氣體危害至儲能空間以外</v>
      </c>
      <c r="V60" s="10" t="str">
        <f>IFERROR(__xludf.DUMMYFUNCTION("""COMPUTED_VALUE"""),"Impact 31")</f>
        <v>Impact 31</v>
      </c>
      <c r="W60" s="1"/>
      <c r="X60" s="1"/>
      <c r="Y60" s="1"/>
      <c r="Z60" s="1"/>
    </row>
    <row r="61" ht="6.75" customHeight="1">
      <c r="A61" s="1"/>
      <c r="B61" s="1"/>
      <c r="C61" s="1"/>
      <c r="D61" s="7"/>
      <c r="E61" s="1"/>
      <c r="F61" s="1"/>
      <c r="G61" s="1"/>
      <c r="H61" s="7"/>
      <c r="I61" s="24"/>
      <c r="J61" s="1"/>
      <c r="K61" s="1"/>
      <c r="L61" s="1"/>
      <c r="M61" s="1"/>
      <c r="N61" s="1"/>
      <c r="O61" s="1"/>
      <c r="P61" s="30" t="str">
        <f>IFERROR(__xludf.DUMMYFUNCTION("""COMPUTED_VALUE"""),"7-6-發生電池櫃熱失控傳播現象")</f>
        <v>7-6-發生電池櫃熱失控傳播現象</v>
      </c>
      <c r="Q61" s="20"/>
      <c r="R61" s="7"/>
      <c r="S61" s="1"/>
      <c r="T61" s="1"/>
      <c r="U61" s="32" t="str">
        <f>IFERROR(__xludf.DUMMYFUNCTION("""COMPUTED_VALUE"""),"R063=49.9% ~ 54.7%")</f>
        <v>R063=49.9% ~ 54.7%</v>
      </c>
      <c r="V61" s="10" t="str">
        <f>IFERROR(__xludf.DUMMYFUNCTION("""COMPUTED_VALUE"""),"P(31)=0.006%")</f>
        <v>P(31)=0.006%</v>
      </c>
      <c r="W61" s="1"/>
      <c r="X61" s="1"/>
      <c r="Y61" s="1"/>
      <c r="Z61" s="1"/>
    </row>
    <row r="62" ht="6.75" customHeight="1">
      <c r="A62" s="1"/>
      <c r="B62" s="1"/>
      <c r="C62" s="1"/>
      <c r="D62" s="7"/>
      <c r="E62" s="1"/>
      <c r="F62" s="1"/>
      <c r="G62" s="1"/>
      <c r="H62" s="7"/>
      <c r="I62" s="24"/>
      <c r="J62" s="1"/>
      <c r="K62" s="1"/>
      <c r="L62" s="1"/>
      <c r="M62" s="1"/>
      <c r="N62" s="1"/>
      <c r="O62" s="1"/>
      <c r="P62" s="32" t="str">
        <f>IFERROR(__xludf.DUMMYFUNCTION("""COMPUTED_VALUE"""),"R056=19.2% ~ 26.9%")</f>
        <v>R056=19.2% ~ 26.9%</v>
      </c>
      <c r="Q62" s="14"/>
      <c r="R62" s="7"/>
      <c r="S62" s="1"/>
      <c r="T62" s="1"/>
      <c r="U62" s="1"/>
      <c r="V62" s="1"/>
      <c r="W62" s="1"/>
      <c r="X62" s="1"/>
      <c r="Y62" s="1"/>
      <c r="Z62" s="1"/>
    </row>
    <row r="63" ht="6.75" customHeight="1">
      <c r="A63" s="1"/>
      <c r="B63" s="1"/>
      <c r="C63" s="1"/>
      <c r="D63" s="7"/>
      <c r="E63" s="1"/>
      <c r="F63" s="1"/>
      <c r="G63" s="1"/>
      <c r="H63" s="30" t="str">
        <f>IFERROR(__xludf.DUMMYFUNCTION("""COMPUTED_VALUE"""),"3-4-電芯發生熱失控")</f>
        <v>3-4-電芯發生熱失控</v>
      </c>
      <c r="I63" s="20"/>
      <c r="J63" s="1"/>
      <c r="K63" s="1"/>
      <c r="L63" s="1"/>
      <c r="M63" s="1"/>
      <c r="N63" s="1"/>
      <c r="O63" s="1"/>
      <c r="P63" s="1"/>
      <c r="Q63" s="1"/>
      <c r="R63" s="7"/>
      <c r="S63" s="1"/>
      <c r="T63" s="1"/>
      <c r="U63" s="8" t="str">
        <f>IFERROR(__xludf.DUMMYFUNCTION("""COMPUTED_VALUE"""),"10-21-熱煙或毒性氣體未危害至儲能空間以外")</f>
        <v>10-21-熱煙或毒性氣體未危害至儲能空間以外</v>
      </c>
      <c r="V63" s="10" t="str">
        <f>IFERROR(__xludf.DUMMYFUNCTION("""COMPUTED_VALUE"""),"Impact 32")</f>
        <v>Impact 32</v>
      </c>
      <c r="W63" s="1"/>
      <c r="X63" s="1"/>
      <c r="Y63" s="1"/>
      <c r="Z63" s="1"/>
    </row>
    <row r="64" ht="6.75" customHeight="1">
      <c r="A64" s="1"/>
      <c r="B64" s="1"/>
      <c r="C64" s="1"/>
      <c r="D64" s="7"/>
      <c r="E64" s="1"/>
      <c r="F64" s="1"/>
      <c r="G64" s="1"/>
      <c r="H64" s="32" t="str">
        <f>IFERROR(__xludf.DUMMYFUNCTION("""COMPUTED_VALUE"""),"R049=75.1% ~ 77.4%")</f>
        <v>R049=75.1% ~ 77.4%</v>
      </c>
      <c r="I64" s="14"/>
      <c r="J64" s="1"/>
      <c r="K64" s="1"/>
      <c r="L64" s="1"/>
      <c r="M64" s="1"/>
      <c r="N64" s="1"/>
      <c r="O64" s="1"/>
      <c r="P64" s="1"/>
      <c r="Q64" s="1"/>
      <c r="R64" s="7"/>
      <c r="S64" s="1"/>
      <c r="T64" s="8" t="str">
        <f>IFERROR(__xludf.DUMMYFUNCTION("""COMPUTED_VALUE"""),"9-11-消防系統有效發揮冷卻作用")</f>
        <v>9-11-消防系統有效發揮冷卻作用</v>
      </c>
      <c r="U64" s="13" t="str">
        <f>IFERROR(__xludf.DUMMYFUNCTION("""COMPUTED_VALUE"""),"R066=56.6% ~ 62.6%")</f>
        <v>R066=56.6% ~ 62.6%</v>
      </c>
      <c r="V64" s="10" t="str">
        <f>IFERROR(__xludf.DUMMYFUNCTION("""COMPUTED_VALUE"""),"P(32)=0.010%")</f>
        <v>P(32)=0.010%</v>
      </c>
      <c r="W64" s="1"/>
      <c r="X64" s="1"/>
      <c r="Y64" s="1"/>
      <c r="Z64" s="1"/>
    </row>
    <row r="65" ht="6.75" customHeight="1">
      <c r="A65" s="1"/>
      <c r="B65" s="1"/>
      <c r="C65" s="1"/>
      <c r="D65" s="7"/>
      <c r="E65" s="1"/>
      <c r="F65" s="1"/>
      <c r="G65" s="1"/>
      <c r="H65" s="1"/>
      <c r="I65" s="24"/>
      <c r="J65" s="1"/>
      <c r="K65" s="1"/>
      <c r="L65" s="1"/>
      <c r="M65" s="1"/>
      <c r="N65" s="1"/>
      <c r="O65" s="1"/>
      <c r="P65" s="1"/>
      <c r="Q65" s="1"/>
      <c r="R65" s="7"/>
      <c r="S65" s="1"/>
      <c r="T65" s="13" t="str">
        <f>IFERROR(__xludf.DUMMYFUNCTION("""COMPUTED_VALUE"""),"R065=53.7% ~ 59.4%")</f>
        <v>R065=53.7% ~ 59.4%</v>
      </c>
      <c r="U65" s="26"/>
      <c r="V65" s="1"/>
      <c r="W65" s="1"/>
      <c r="X65" s="1"/>
      <c r="Y65" s="1"/>
      <c r="Z65" s="1"/>
    </row>
    <row r="66" ht="6.75" customHeight="1">
      <c r="A66" s="1"/>
      <c r="B66" s="1"/>
      <c r="C66" s="1"/>
      <c r="D66" s="7"/>
      <c r="E66" s="1"/>
      <c r="F66" s="1"/>
      <c r="G66" s="1"/>
      <c r="H66" s="1"/>
      <c r="I66" s="24"/>
      <c r="J66" s="1"/>
      <c r="K66" s="1"/>
      <c r="L66" s="1"/>
      <c r="M66" s="1"/>
      <c r="N66" s="1"/>
      <c r="O66" s="1"/>
      <c r="P66" s="1"/>
      <c r="Q66" s="24"/>
      <c r="R66" s="1"/>
      <c r="S66" s="24"/>
      <c r="T66" s="1"/>
      <c r="U66" s="30" t="str">
        <f>IFERROR(__xludf.DUMMYFUNCTION("""COMPUTED_VALUE"""),"10-22-熱煙或毒性氣體危害至儲能空間以外")</f>
        <v>10-22-熱煙或毒性氣體危害至儲能空間以外</v>
      </c>
      <c r="V66" s="10" t="str">
        <f>IFERROR(__xludf.DUMMYFUNCTION("""COMPUTED_VALUE"""),"Impact 33")</f>
        <v>Impact 33</v>
      </c>
      <c r="W66" s="1"/>
      <c r="X66" s="1"/>
      <c r="Y66" s="1"/>
      <c r="Z66" s="1"/>
    </row>
    <row r="67" ht="6.75" customHeight="1">
      <c r="A67" s="1"/>
      <c r="B67" s="1"/>
      <c r="C67" s="1"/>
      <c r="D67" s="7"/>
      <c r="E67" s="1"/>
      <c r="F67" s="1"/>
      <c r="G67" s="1"/>
      <c r="H67" s="1"/>
      <c r="I67" s="24"/>
      <c r="J67" s="1"/>
      <c r="K67" s="1"/>
      <c r="L67" s="1"/>
      <c r="M67" s="1"/>
      <c r="N67" s="1"/>
      <c r="O67" s="1"/>
      <c r="P67" s="1"/>
      <c r="Q67" s="1"/>
      <c r="R67" s="30" t="str">
        <f>IFERROR(__xludf.DUMMYFUNCTION("""COMPUTED_VALUE"""),"8-6-可燃氣體濃度達到LFL")</f>
        <v>8-6-可燃氣體濃度達到LFL</v>
      </c>
      <c r="S67" s="20"/>
      <c r="T67" s="7"/>
      <c r="U67" s="32" t="str">
        <f>IFERROR(__xludf.DUMMYFUNCTION("""COMPUTED_VALUE"""),"R067=37.4% ~ 43.4%")</f>
        <v>R067=37.4% ~ 43.4%</v>
      </c>
      <c r="V67" s="10" t="str">
        <f>IFERROR(__xludf.DUMMYFUNCTION("""COMPUTED_VALUE"""),"P(33)=0.007%")</f>
        <v>P(33)=0.007%</v>
      </c>
      <c r="W67" s="1"/>
      <c r="X67" s="1"/>
      <c r="Y67" s="1"/>
      <c r="Z67" s="1"/>
    </row>
    <row r="68" ht="6.75" customHeight="1">
      <c r="A68" s="1"/>
      <c r="B68" s="1"/>
      <c r="C68" s="1"/>
      <c r="D68" s="7"/>
      <c r="E68" s="1"/>
      <c r="F68" s="1"/>
      <c r="G68" s="1"/>
      <c r="H68" s="1"/>
      <c r="I68" s="24"/>
      <c r="J68" s="1"/>
      <c r="K68" s="1"/>
      <c r="L68" s="1"/>
      <c r="M68" s="1"/>
      <c r="N68" s="1"/>
      <c r="O68" s="1"/>
      <c r="P68" s="1"/>
      <c r="Q68" s="1"/>
      <c r="R68" s="32" t="str">
        <f>IFERROR(__xludf.DUMMYFUNCTION("""COMPUTED_VALUE"""),"R064=45.6% ~ 50.8%")</f>
        <v>R064=45.6% ~ 50.8%</v>
      </c>
      <c r="S68" s="14"/>
      <c r="T68" s="7"/>
      <c r="U68" s="1"/>
      <c r="V68" s="1"/>
      <c r="W68" s="1"/>
      <c r="X68" s="1"/>
      <c r="Y68" s="1"/>
      <c r="Z68" s="1"/>
    </row>
    <row r="69" ht="6.75" customHeight="1">
      <c r="A69" s="1"/>
      <c r="B69" s="1"/>
      <c r="C69" s="1"/>
      <c r="D69" s="7"/>
      <c r="E69" s="1"/>
      <c r="F69" s="1"/>
      <c r="G69" s="1"/>
      <c r="H69" s="1"/>
      <c r="I69" s="24"/>
      <c r="J69" s="1"/>
      <c r="K69" s="1"/>
      <c r="L69" s="1"/>
      <c r="M69" s="1"/>
      <c r="N69" s="1"/>
      <c r="O69" s="1"/>
      <c r="P69" s="1"/>
      <c r="Q69" s="1"/>
      <c r="R69" s="1"/>
      <c r="S69" s="1"/>
      <c r="T69" s="7"/>
      <c r="U69" s="8" t="str">
        <f>IFERROR(__xludf.DUMMYFUNCTION("""COMPUTED_VALUE"""),"10-23-熱煙或毒性氣體未危害至儲能空間以外")</f>
        <v>10-23-熱煙或毒性氣體未危害至儲能空間以外</v>
      </c>
      <c r="V69" s="10" t="str">
        <f>IFERROR(__xludf.DUMMYFUNCTION("""COMPUTED_VALUE"""),"Impact 34")</f>
        <v>Impact 34</v>
      </c>
      <c r="W69" s="1"/>
      <c r="X69" s="1"/>
      <c r="Y69" s="1"/>
      <c r="Z69" s="1"/>
    </row>
    <row r="70" ht="6.75" customHeight="1">
      <c r="A70" s="1"/>
      <c r="B70" s="1"/>
      <c r="C70" s="1"/>
      <c r="D70" s="7"/>
      <c r="E70" s="1"/>
      <c r="F70" s="1"/>
      <c r="G70" s="1"/>
      <c r="H70" s="1"/>
      <c r="I70" s="24"/>
      <c r="J70" s="1"/>
      <c r="K70" s="1"/>
      <c r="L70" s="1"/>
      <c r="M70" s="1"/>
      <c r="N70" s="1"/>
      <c r="O70" s="1"/>
      <c r="P70" s="1"/>
      <c r="Q70" s="1"/>
      <c r="R70" s="1"/>
      <c r="S70" s="1"/>
      <c r="T70" s="7"/>
      <c r="U70" s="13" t="str">
        <f>IFERROR(__xludf.DUMMYFUNCTION("""COMPUTED_VALUE"""),"R069=45.3% ~ 50.1%")</f>
        <v>R069=45.3% ~ 50.1%</v>
      </c>
      <c r="V70" s="10" t="str">
        <f>IFERROR(__xludf.DUMMYFUNCTION("""COMPUTED_VALUE"""),"P(34)=0.006%")</f>
        <v>P(34)=0.006%</v>
      </c>
      <c r="W70" s="1"/>
      <c r="X70" s="1"/>
      <c r="Y70" s="1"/>
      <c r="Z70" s="1"/>
    </row>
    <row r="71" ht="6.75" customHeight="1">
      <c r="A71" s="1"/>
      <c r="B71" s="1"/>
      <c r="C71" s="1"/>
      <c r="D71" s="7"/>
      <c r="E71" s="1"/>
      <c r="F71" s="1"/>
      <c r="G71" s="1"/>
      <c r="H71" s="1"/>
      <c r="I71" s="24"/>
      <c r="J71" s="1"/>
      <c r="K71" s="1"/>
      <c r="L71" s="1"/>
      <c r="M71" s="1"/>
      <c r="N71" s="1"/>
      <c r="O71" s="1"/>
      <c r="P71" s="1"/>
      <c r="Q71" s="1"/>
      <c r="R71" s="1"/>
      <c r="S71" s="1"/>
      <c r="T71" s="30" t="str">
        <f>IFERROR(__xludf.DUMMYFUNCTION("""COMPUTED_VALUE"""),"9-12-消防系統無法發揮冷卻作用")</f>
        <v>9-12-消防系統無法發揮冷卻作用</v>
      </c>
      <c r="U71" s="26"/>
      <c r="V71" s="1"/>
      <c r="W71" s="1"/>
      <c r="X71" s="1"/>
      <c r="Y71" s="1"/>
      <c r="Z71" s="1"/>
    </row>
    <row r="72" ht="6.75" customHeight="1">
      <c r="A72" s="1"/>
      <c r="B72" s="1"/>
      <c r="C72" s="1"/>
      <c r="D72" s="7"/>
      <c r="E72" s="1"/>
      <c r="F72" s="1"/>
      <c r="G72" s="1"/>
      <c r="H72" s="1"/>
      <c r="I72" s="24"/>
      <c r="J72" s="1"/>
      <c r="K72" s="1"/>
      <c r="L72" s="1"/>
      <c r="M72" s="1"/>
      <c r="N72" s="1"/>
      <c r="O72" s="1"/>
      <c r="P72" s="1"/>
      <c r="Q72" s="1"/>
      <c r="R72" s="1"/>
      <c r="S72" s="1"/>
      <c r="T72" s="32" t="str">
        <f>IFERROR(__xludf.DUMMYFUNCTION("""COMPUTED_VALUE"""),"R068=40.6% ~ 46.3%")</f>
        <v>R068=40.6% ~ 46.3%</v>
      </c>
      <c r="U72" s="30" t="str">
        <f>IFERROR(__xludf.DUMMYFUNCTION("""COMPUTED_VALUE"""),"10-24-熱煙或毒性氣體危害至儲能空間以外")</f>
        <v>10-24-熱煙或毒性氣體危害至儲能空間以外</v>
      </c>
      <c r="V72" s="10" t="str">
        <f>IFERROR(__xludf.DUMMYFUNCTION("""COMPUTED_VALUE"""),"Impact 35")</f>
        <v>Impact 35</v>
      </c>
      <c r="W72" s="1"/>
      <c r="X72" s="1"/>
      <c r="Y72" s="1"/>
      <c r="Z72" s="1"/>
    </row>
    <row r="73" ht="6.75" customHeight="1">
      <c r="A73" s="1"/>
      <c r="B73" s="1"/>
      <c r="C73" s="1"/>
      <c r="D73" s="7"/>
      <c r="E73" s="1"/>
      <c r="F73" s="1"/>
      <c r="G73" s="1"/>
      <c r="H73" s="1"/>
      <c r="I73" s="24"/>
      <c r="J73" s="1"/>
      <c r="K73" s="1"/>
      <c r="L73" s="8" t="str">
        <f>IFERROR(__xludf.DUMMYFUNCTION("""COMPUTED_VALUE"""),"5-7-未發生電芯熱失控傳播現象")</f>
        <v>5-7-未發生電芯熱失控傳播現象</v>
      </c>
      <c r="M73" s="9"/>
      <c r="N73" s="10" t="str">
        <f>IFERROR(__xludf.DUMMYFUNCTION("""COMPUTED_VALUE"""),"Impact 36")</f>
        <v>Impact 36</v>
      </c>
      <c r="O73" s="1"/>
      <c r="P73" s="1"/>
      <c r="Q73" s="1"/>
      <c r="R73" s="1"/>
      <c r="S73" s="1"/>
      <c r="T73" s="1"/>
      <c r="U73" s="32" t="str">
        <f>IFERROR(__xludf.DUMMYFUNCTION("""COMPUTED_VALUE"""),"R070=49.9% ~ 54.7%")</f>
        <v>R070=49.9% ~ 54.7%</v>
      </c>
      <c r="V73" s="10" t="str">
        <f>IFERROR(__xludf.DUMMYFUNCTION("""COMPUTED_VALUE"""),"P(35)=0.007%")</f>
        <v>P(35)=0.007%</v>
      </c>
      <c r="W73" s="1"/>
      <c r="X73" s="1"/>
      <c r="Y73" s="1"/>
      <c r="Z73" s="1"/>
    </row>
    <row r="74" ht="6.75" customHeight="1">
      <c r="A74" s="1"/>
      <c r="B74" s="1"/>
      <c r="C74" s="1"/>
      <c r="D74" s="7"/>
      <c r="E74" s="1"/>
      <c r="F74" s="1"/>
      <c r="G74" s="1"/>
      <c r="H74" s="1"/>
      <c r="I74" s="24"/>
      <c r="J74" s="1"/>
      <c r="K74" s="1"/>
      <c r="L74" s="13" t="str">
        <f>IFERROR(__xludf.DUMMYFUNCTION("""COMPUTED_VALUE"""),"R072=61.1% ~ 67.5%")</f>
        <v>R072=61.1% ~ 67.5%</v>
      </c>
      <c r="M74" s="15"/>
      <c r="N74" s="10" t="str">
        <f>IFERROR(__xludf.DUMMYFUNCTION("""COMPUTED_VALUE"""),"P(36)=6.834%")</f>
        <v>P(36)=6.834%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6.75" customHeight="1">
      <c r="A75" s="1"/>
      <c r="B75" s="1"/>
      <c r="C75" s="1"/>
      <c r="D75" s="7"/>
      <c r="E75" s="1"/>
      <c r="F75" s="1"/>
      <c r="G75" s="1"/>
      <c r="H75" s="1"/>
      <c r="I75" s="24"/>
      <c r="J75" s="1"/>
      <c r="K75" s="1"/>
      <c r="L75" s="7"/>
      <c r="M75" s="1"/>
      <c r="N75" s="8" t="str">
        <f>IFERROR(__xludf.DUMMYFUNCTION("""COMPUTED_VALUE"""),"6-7-未發生模組熱失控傳播現象")</f>
        <v>6-7-未發生模組熱失控傳播現象</v>
      </c>
      <c r="O75" s="9"/>
      <c r="P75" s="10" t="str">
        <f>IFERROR(__xludf.DUMMYFUNCTION("""COMPUTED_VALUE"""),"Impact 37")</f>
        <v>Impact 37</v>
      </c>
      <c r="Q75" s="1"/>
      <c r="R75" s="1"/>
      <c r="S75" s="1"/>
      <c r="T75" s="1"/>
      <c r="U75" s="8" t="str">
        <f>IFERROR(__xludf.DUMMYFUNCTION("""COMPUTED_VALUE"""),"10-25-熱煙或毒性氣體未危害至儲能空間以外")</f>
        <v>10-25-熱煙或毒性氣體未危害至儲能空間以外</v>
      </c>
      <c r="V75" s="10" t="str">
        <f>IFERROR(__xludf.DUMMYFUNCTION("""COMPUTED_VALUE"""),"Impact 39")</f>
        <v>Impact 39</v>
      </c>
      <c r="W75" s="1"/>
      <c r="X75" s="1"/>
      <c r="Y75" s="1"/>
      <c r="Z75" s="1"/>
    </row>
    <row r="76" ht="6.75" customHeight="1">
      <c r="A76" s="1"/>
      <c r="B76" s="1"/>
      <c r="C76" s="1"/>
      <c r="D76" s="7"/>
      <c r="E76" s="1"/>
      <c r="F76" s="1"/>
      <c r="G76" s="1"/>
      <c r="H76" s="1"/>
      <c r="I76" s="24"/>
      <c r="J76" s="43" t="str">
        <f>IFERROR(__xludf.DUMMYFUNCTION("""COMPUTED_VALUE"""),"4-4-通風排出裝置未啟動")</f>
        <v>4-4-通風排出裝置未啟動</v>
      </c>
      <c r="K76" s="20"/>
      <c r="L76" s="7"/>
      <c r="M76" s="1"/>
      <c r="N76" s="13" t="str">
        <f>IFERROR(__xludf.DUMMYFUNCTION("""COMPUTED_VALUE"""),"R074=70.0% ~ 77.3%")</f>
        <v>R074=70.0% ~ 77.3%</v>
      </c>
      <c r="O76" s="15"/>
      <c r="P76" s="10" t="str">
        <f>IFERROR(__xludf.DUMMYFUNCTION("""COMPUTED_VALUE"""),"P(37)=2.863%")</f>
        <v>P(37)=2.863%</v>
      </c>
      <c r="Q76" s="1"/>
      <c r="R76" s="1"/>
      <c r="S76" s="1"/>
      <c r="T76" s="8" t="str">
        <f>IFERROR(__xludf.DUMMYFUNCTION("""COMPUTED_VALUE"""),"9-13-消防系統有效發揮冷卻作用")</f>
        <v>9-13-消防系統有效發揮冷卻作用</v>
      </c>
      <c r="U76" s="13" t="str">
        <f>IFERROR(__xludf.DUMMYFUNCTION("""COMPUTED_VALUE"""),"R080=56.6% ~ 62.6%")</f>
        <v>R080=56.6% ~ 62.6%</v>
      </c>
      <c r="V76" s="10" t="str">
        <f>IFERROR(__xludf.DUMMYFUNCTION("""COMPUTED_VALUE"""),"P(39)=0.025%")</f>
        <v>P(39)=0.025%</v>
      </c>
      <c r="W76" s="1"/>
      <c r="X76" s="1"/>
      <c r="Y76" s="1"/>
      <c r="Z76" s="1"/>
    </row>
    <row r="77" ht="6.75" customHeight="1">
      <c r="A77" s="1"/>
      <c r="B77" s="47" t="str">
        <f>IFERROR(__xludf.DUMMYFUNCTION("""COMPUTED_VALUE"""),"頂層事件(Top Event )")</f>
        <v>頂層事件(Top Event )</v>
      </c>
      <c r="C77" s="1"/>
      <c r="D77" s="7"/>
      <c r="E77" s="1"/>
      <c r="F77" s="1"/>
      <c r="G77" s="1"/>
      <c r="H77" s="1"/>
      <c r="I77" s="1"/>
      <c r="J77" s="32" t="str">
        <f>IFERROR(__xludf.DUMMYFUNCTION("""COMPUTED_VALUE"""),"R071=78.3% ~ 80.3%")</f>
        <v>R071=78.3% ~ 80.3%</v>
      </c>
      <c r="K77" s="14"/>
      <c r="L77" s="1"/>
      <c r="M77" s="1"/>
      <c r="N77" s="7"/>
      <c r="O77" s="1"/>
      <c r="P77" s="8" t="str">
        <f>IFERROR(__xludf.DUMMYFUNCTION("""COMPUTED_VALUE"""),"7-7-未發生電池櫃熱失控傳播現象")</f>
        <v>7-7-未發生電池櫃熱失控傳播現象</v>
      </c>
      <c r="Q77" s="9"/>
      <c r="R77" s="10" t="str">
        <f>IFERROR(__xludf.DUMMYFUNCTION("""COMPUTED_VALUE"""),"Impact 38")</f>
        <v>Impact 38</v>
      </c>
      <c r="S77" s="1"/>
      <c r="T77" s="13" t="str">
        <f>IFERROR(__xludf.DUMMYFUNCTION("""COMPUTED_VALUE"""),"R079=63.2% ~ 69.9%")</f>
        <v>R079=63.2% ~ 69.9%</v>
      </c>
      <c r="U77" s="26"/>
      <c r="V77" s="1"/>
      <c r="W77" s="1"/>
      <c r="X77" s="1"/>
      <c r="Y77" s="1"/>
      <c r="Z77" s="1"/>
    </row>
    <row r="78" ht="6.75" customHeight="1">
      <c r="A78" s="1"/>
      <c r="B78" s="9"/>
      <c r="C78" s="1"/>
      <c r="D78" s="7"/>
      <c r="E78" s="1"/>
      <c r="F78" s="1"/>
      <c r="G78" s="1"/>
      <c r="H78" s="1"/>
      <c r="I78" s="1"/>
      <c r="J78" s="1"/>
      <c r="K78" s="24"/>
      <c r="L78" s="30" t="str">
        <f>IFERROR(__xludf.DUMMYFUNCTION("""COMPUTED_VALUE"""),"5-8-發生電芯熱失控傳播現象")</f>
        <v>5-8-發生電芯熱失控傳播現象</v>
      </c>
      <c r="M78" s="20"/>
      <c r="N78" s="7"/>
      <c r="O78" s="1"/>
      <c r="P78" s="13" t="str">
        <f>IFERROR(__xludf.DUMMYFUNCTION("""COMPUTED_VALUE"""),"R076=73.1% ~ 80.8%")</f>
        <v>R076=73.1% ~ 80.8%</v>
      </c>
      <c r="Q78" s="15"/>
      <c r="R78" s="10" t="str">
        <f>IFERROR(__xludf.DUMMYFUNCTION("""COMPUTED_VALUE"""),"P(38)=0.792%")</f>
        <v>P(38)=0.792%</v>
      </c>
      <c r="S78" s="24"/>
      <c r="T78" s="1"/>
      <c r="U78" s="30" t="str">
        <f>IFERROR(__xludf.DUMMYFUNCTION("""COMPUTED_VALUE"""),"10-26-熱煙或毒性氣體危害至儲能空間以外")</f>
        <v>10-26-熱煙或毒性氣體危害至儲能空間以外</v>
      </c>
      <c r="V78" s="10" t="str">
        <f>IFERROR(__xludf.DUMMYFUNCTION("""COMPUTED_VALUE"""),"Impact 40")</f>
        <v>Impact 40</v>
      </c>
      <c r="W78" s="1"/>
      <c r="X78" s="1"/>
      <c r="Y78" s="1"/>
      <c r="Z78" s="1"/>
    </row>
    <row r="79" ht="6.75" customHeight="1">
      <c r="A79" s="1"/>
      <c r="B79" s="69" t="str">
        <f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C79" s="1"/>
      <c r="D79" s="7"/>
      <c r="E79" s="1"/>
      <c r="F79" s="1"/>
      <c r="G79" s="1"/>
      <c r="H79" s="1"/>
      <c r="I79" s="1"/>
      <c r="J79" s="1"/>
      <c r="K79" s="1"/>
      <c r="L79" s="32" t="str">
        <f>IFERROR(__xludf.DUMMYFUNCTION("""COMPUTED_VALUE"""),"R073=32.5% ~ 38.9%")</f>
        <v>R073=32.5% ~ 38.9%</v>
      </c>
      <c r="M79" s="14"/>
      <c r="N79" s="1"/>
      <c r="O79" s="1"/>
      <c r="P79" s="7"/>
      <c r="Q79" s="1"/>
      <c r="R79" s="8" t="str">
        <f>IFERROR(__xludf.DUMMYFUNCTION("""COMPUTED_VALUE"""),"8-7-可燃氣體濃度未達到LFL")</f>
        <v>8-7-可燃氣體濃度未達到LFL</v>
      </c>
      <c r="S79" s="20"/>
      <c r="T79" s="7"/>
      <c r="U79" s="32" t="str">
        <f>IFERROR(__xludf.DUMMYFUNCTION("""COMPUTED_VALUE"""),"R081=37.4% ~ 43.4%")</f>
        <v>R081=37.4% ~ 43.4%</v>
      </c>
      <c r="V79" s="10" t="str">
        <f>IFERROR(__xludf.DUMMYFUNCTION("""COMPUTED_VALUE"""),"P(40)=0.017%")</f>
        <v>P(40)=0.017%</v>
      </c>
      <c r="W79" s="1"/>
      <c r="X79" s="1"/>
      <c r="Y79" s="1"/>
      <c r="Z79" s="1"/>
    </row>
    <row r="80" ht="6.75" customHeight="1">
      <c r="A80" s="1"/>
      <c r="B80" s="12"/>
      <c r="C80" s="51"/>
      <c r="D80" s="7"/>
      <c r="E80" s="1"/>
      <c r="F80" s="1"/>
      <c r="G80" s="1"/>
      <c r="H80" s="1"/>
      <c r="I80" s="1"/>
      <c r="J80" s="1"/>
      <c r="K80" s="1"/>
      <c r="L80" s="1"/>
      <c r="M80" s="24"/>
      <c r="N80" s="1"/>
      <c r="O80" s="1"/>
      <c r="P80" s="7"/>
      <c r="Q80" s="1"/>
      <c r="R80" s="13" t="str">
        <f>IFERROR(__xludf.DUMMYFUNCTION("""COMPUTED_VALUE"""),"R078=24.6% ~ 27.2%")</f>
        <v>R078=24.6% ~ 27.2%</v>
      </c>
      <c r="S80" s="14"/>
      <c r="T80" s="7"/>
      <c r="U80" s="1"/>
      <c r="V80" s="1"/>
      <c r="W80" s="1"/>
      <c r="X80" s="1"/>
      <c r="Y80" s="1"/>
      <c r="Z80" s="1"/>
    </row>
    <row r="81" ht="6.75" customHeight="1">
      <c r="A81" s="1"/>
      <c r="B81" s="12"/>
      <c r="C81" s="45"/>
      <c r="D81" s="7"/>
      <c r="E81" s="1"/>
      <c r="F81" s="1"/>
      <c r="G81" s="1"/>
      <c r="H81" s="1"/>
      <c r="I81" s="1"/>
      <c r="J81" s="1"/>
      <c r="K81" s="1"/>
      <c r="L81" s="1"/>
      <c r="M81" s="1"/>
      <c r="N81" s="30" t="str">
        <f>IFERROR(__xludf.DUMMYFUNCTION("""COMPUTED_VALUE"""),"6-8-發生模組熱失控傳播現象")</f>
        <v>6-8-發生模組熱失控傳播現象</v>
      </c>
      <c r="O81" s="20"/>
      <c r="P81" s="7"/>
      <c r="Q81" s="1"/>
      <c r="R81" s="7"/>
      <c r="S81" s="1"/>
      <c r="T81" s="7"/>
      <c r="U81" s="8" t="str">
        <f>IFERROR(__xludf.DUMMYFUNCTION("""COMPUTED_VALUE"""),"10-27-熱煙或毒性氣體未危害至儲能空間以外")</f>
        <v>10-27-熱煙或毒性氣體未危害至儲能空間以外</v>
      </c>
      <c r="V81" s="10" t="str">
        <f>IFERROR(__xludf.DUMMYFUNCTION("""COMPUTED_VALUE"""),"Impact 41")</f>
        <v>Impact 41</v>
      </c>
      <c r="W81" s="1"/>
      <c r="X81" s="1"/>
      <c r="Y81" s="1"/>
      <c r="Z81" s="1"/>
    </row>
    <row r="82" ht="6.75" customHeight="1">
      <c r="A82" s="1"/>
      <c r="B82" s="21"/>
      <c r="C82" s="1"/>
      <c r="D82" s="7"/>
      <c r="E82" s="1"/>
      <c r="F82" s="1"/>
      <c r="G82" s="1"/>
      <c r="H82" s="1"/>
      <c r="I82" s="1"/>
      <c r="J82" s="1"/>
      <c r="K82" s="1"/>
      <c r="L82" s="1"/>
      <c r="M82" s="1"/>
      <c r="N82" s="32" t="str">
        <f>IFERROR(__xludf.DUMMYFUNCTION("""COMPUTED_VALUE"""),"R075=22.7% ~ 30.0%")</f>
        <v>R075=22.7% ~ 30.0%</v>
      </c>
      <c r="O82" s="14"/>
      <c r="P82" s="7"/>
      <c r="Q82" s="1"/>
      <c r="R82" s="7"/>
      <c r="S82" s="1"/>
      <c r="T82" s="7"/>
      <c r="U82" s="13" t="str">
        <f>IFERROR(__xludf.DUMMYFUNCTION("""COMPUTED_VALUE"""),"R083=45.3% ~ 50.1%")</f>
        <v>R083=45.3% ~ 50.1%</v>
      </c>
      <c r="V82" s="10" t="str">
        <f>IFERROR(__xludf.DUMMYFUNCTION("""COMPUTED_VALUE"""),"P(41)=0.010%")</f>
        <v>P(41)=0.010%</v>
      </c>
      <c r="W82" s="1"/>
      <c r="X82" s="1"/>
      <c r="Y82" s="1"/>
      <c r="Z82" s="1"/>
    </row>
    <row r="83" ht="6.75" customHeight="1">
      <c r="A83" s="1"/>
      <c r="B83" s="70" t="str">
        <f>IFERROR(__xludf.DUMMYFUNCTION("""COMPUTED_VALUE"""),"Freq.Ann (Annual Frequency)")</f>
        <v>Freq.Ann (Annual Frequency)</v>
      </c>
      <c r="C83" s="1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7"/>
      <c r="Q83" s="1"/>
      <c r="R83" s="7"/>
      <c r="S83" s="1"/>
      <c r="T83" s="30" t="str">
        <f>IFERROR(__xludf.DUMMYFUNCTION("""COMPUTED_VALUE"""),"9-14-消防系統無法發揮冷卻作用")</f>
        <v>9-14-消防系統無法發揮冷卻作用</v>
      </c>
      <c r="U83" s="26"/>
      <c r="V83" s="1"/>
      <c r="W83" s="1"/>
      <c r="X83" s="1"/>
      <c r="Y83" s="1"/>
      <c r="Z83" s="1"/>
    </row>
    <row r="84" ht="6.75" customHeight="1">
      <c r="A84" s="1"/>
      <c r="C84" s="1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7"/>
      <c r="Q84" s="1"/>
      <c r="R84" s="7"/>
      <c r="S84" s="1"/>
      <c r="T84" s="32" t="str">
        <f>IFERROR(__xludf.DUMMYFUNCTION("""COMPUTED_VALUE"""),"R082=30.1% ~ 36.8%")</f>
        <v>R082=30.1% ~ 36.8%</v>
      </c>
      <c r="U84" s="30" t="str">
        <f>IFERROR(__xludf.DUMMYFUNCTION("""COMPUTED_VALUE"""),"10-28-熱煙或毒性氣體危害至儲能空間以外")</f>
        <v>10-28-熱煙或毒性氣體危害至儲能空間以外</v>
      </c>
      <c r="V84" s="10" t="str">
        <f>IFERROR(__xludf.DUMMYFUNCTION("""COMPUTED_VALUE"""),"Impact 42")</f>
        <v>Impact 42</v>
      </c>
      <c r="W84" s="1"/>
      <c r="X84" s="1"/>
      <c r="Y84" s="1"/>
      <c r="Z84" s="1"/>
    </row>
    <row r="85" ht="6.75" customHeight="1">
      <c r="A85" s="1"/>
      <c r="B85" s="1"/>
      <c r="C85" s="1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0" t="str">
        <f>IFERROR(__xludf.DUMMYFUNCTION("""COMPUTED_VALUE"""),"7-8-發生電池櫃熱失控傳播現象")</f>
        <v>7-8-發生電池櫃熱失控傳播現象</v>
      </c>
      <c r="Q85" s="20"/>
      <c r="R85" s="7"/>
      <c r="S85" s="1"/>
      <c r="T85" s="1"/>
      <c r="U85" s="32" t="str">
        <f>IFERROR(__xludf.DUMMYFUNCTION("""COMPUTED_VALUE"""),"R084=49.9% ~ 54.7%")</f>
        <v>R084=49.9% ~ 54.7%</v>
      </c>
      <c r="V85" s="10" t="str">
        <f>IFERROR(__xludf.DUMMYFUNCTION("""COMPUTED_VALUE"""),"P(42)=0.011%")</f>
        <v>P(42)=0.011%</v>
      </c>
      <c r="W85" s="1"/>
      <c r="X85" s="1"/>
      <c r="Y85" s="1"/>
      <c r="Z85" s="1"/>
    </row>
    <row r="86" ht="6.75" customHeight="1">
      <c r="A86" s="1"/>
      <c r="B86" s="1"/>
      <c r="C86" s="1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32" t="str">
        <f>IFERROR(__xludf.DUMMYFUNCTION("""COMPUTED_VALUE"""),"R077=19.2% ~ 26.9%")</f>
        <v>R077=19.2% ~ 26.9%</v>
      </c>
      <c r="Q86" s="14"/>
      <c r="R86" s="7"/>
      <c r="S86" s="1"/>
      <c r="T86" s="1"/>
      <c r="U86" s="1"/>
      <c r="V86" s="1"/>
      <c r="W86" s="1"/>
      <c r="X86" s="1"/>
      <c r="Y86" s="1"/>
      <c r="Z86" s="1"/>
    </row>
    <row r="87" ht="6.75" customHeight="1">
      <c r="A87" s="1"/>
      <c r="B87" s="1"/>
      <c r="C87" s="1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7"/>
      <c r="S87" s="1"/>
      <c r="T87" s="1"/>
      <c r="U87" s="8" t="str">
        <f>IFERROR(__xludf.DUMMYFUNCTION("""COMPUTED_VALUE"""),"10-29-熱煙或毒性氣體未危害至儲能空間以外")</f>
        <v>10-29-熱煙或毒性氣體未危害至儲能空間以外</v>
      </c>
      <c r="V87" s="10" t="str">
        <f>IFERROR(__xludf.DUMMYFUNCTION("""COMPUTED_VALUE"""),"Impact 43")</f>
        <v>Impact 43</v>
      </c>
      <c r="W87" s="1"/>
      <c r="X87" s="1"/>
      <c r="Y87" s="1"/>
      <c r="Z87" s="1"/>
    </row>
    <row r="88" ht="6.75" customHeight="1">
      <c r="A88" s="1"/>
      <c r="B88" s="1"/>
      <c r="C88" s="1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7"/>
      <c r="S88" s="1"/>
      <c r="T88" s="8" t="str">
        <f>IFERROR(__xludf.DUMMYFUNCTION("""COMPUTED_VALUE"""),"9-15-消防系統有效發揮冷卻作用")</f>
        <v>9-15-消防系統有效發揮冷卻作用</v>
      </c>
      <c r="U88" s="13" t="str">
        <f>IFERROR(__xludf.DUMMYFUNCTION("""COMPUTED_VALUE"""),"R087=56.6% ~ 62.6%")</f>
        <v>R087=56.6% ~ 62.6%</v>
      </c>
      <c r="V88" s="10" t="str">
        <f>IFERROR(__xludf.DUMMYFUNCTION("""COMPUTED_VALUE"""),"P(43)=0.060%")</f>
        <v>P(43)=0.060%</v>
      </c>
      <c r="W88" s="1"/>
      <c r="X88" s="1"/>
      <c r="Y88" s="1"/>
      <c r="Z88" s="1"/>
    </row>
    <row r="89" ht="6.75" customHeight="1">
      <c r="A89" s="1"/>
      <c r="B89" s="1"/>
      <c r="C89" s="1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7"/>
      <c r="S89" s="1"/>
      <c r="T89" s="13" t="str">
        <f>IFERROR(__xludf.DUMMYFUNCTION("""COMPUTED_VALUE"""),"R086=53.7% ~ 59.4%")</f>
        <v>R086=53.7% ~ 59.4%</v>
      </c>
      <c r="U89" s="26"/>
      <c r="V89" s="1"/>
      <c r="W89" s="1"/>
      <c r="X89" s="1"/>
      <c r="Y89" s="1"/>
      <c r="Z89" s="1"/>
    </row>
    <row r="90" ht="6.75" customHeight="1">
      <c r="A90" s="1"/>
      <c r="B90" s="1"/>
      <c r="C90" s="1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7"/>
      <c r="S90" s="24"/>
      <c r="T90" s="1"/>
      <c r="U90" s="30" t="str">
        <f>IFERROR(__xludf.DUMMYFUNCTION("""COMPUTED_VALUE"""),"10-30-熱煙或毒性氣體危害至儲能空間以外")</f>
        <v>10-30-熱煙或毒性氣體危害至儲能空間以外</v>
      </c>
      <c r="V90" s="10" t="str">
        <f>IFERROR(__xludf.DUMMYFUNCTION("""COMPUTED_VALUE"""),"Impact 44")</f>
        <v>Impact 44</v>
      </c>
      <c r="W90" s="1"/>
      <c r="X90" s="1"/>
      <c r="Y90" s="1"/>
      <c r="Z90" s="1"/>
    </row>
    <row r="91" ht="6.75" customHeight="1">
      <c r="A91" s="1"/>
      <c r="B91" s="1"/>
      <c r="C91" s="1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30" t="str">
        <f>IFERROR(__xludf.DUMMYFUNCTION("""COMPUTED_VALUE"""),"8-8-可燃氣體濃度達到LFL")</f>
        <v>8-8-可燃氣體濃度達到LFL</v>
      </c>
      <c r="S91" s="20"/>
      <c r="T91" s="7"/>
      <c r="U91" s="32" t="str">
        <f>IFERROR(__xludf.DUMMYFUNCTION("""COMPUTED_VALUE"""),"R088=37.4% ~ 43.4%")</f>
        <v>R088=37.4% ~ 43.4%</v>
      </c>
      <c r="V91" s="10" t="str">
        <f>IFERROR(__xludf.DUMMYFUNCTION("""COMPUTED_VALUE"""),"P(44)=0.041%")</f>
        <v>P(44)=0.041%</v>
      </c>
      <c r="W91" s="1"/>
      <c r="X91" s="1"/>
      <c r="Y91" s="1"/>
      <c r="Z91" s="1"/>
    </row>
    <row r="92" ht="6.75" customHeight="1">
      <c r="A92" s="1"/>
      <c r="B92" s="1"/>
      <c r="C92" s="1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32" t="str">
        <f>IFERROR(__xludf.DUMMYFUNCTION("""COMPUTED_VALUE"""),"R085=72.8% ~ 75.4%")</f>
        <v>R085=72.8% ~ 75.4%</v>
      </c>
      <c r="S92" s="14"/>
      <c r="T92" s="7"/>
      <c r="U92" s="1"/>
      <c r="V92" s="1"/>
      <c r="W92" s="1"/>
      <c r="X92" s="1"/>
      <c r="Y92" s="1"/>
      <c r="Z92" s="1"/>
    </row>
    <row r="93" ht="6.75" customHeight="1">
      <c r="A93" s="1"/>
      <c r="B93" s="1"/>
      <c r="C93" s="1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7"/>
      <c r="U93" s="8" t="str">
        <f>IFERROR(__xludf.DUMMYFUNCTION("""COMPUTED_VALUE"""),"10-31-熱煙或毒性氣體未危害至儲能空間以外")</f>
        <v>10-31-熱煙或毒性氣體未危害至儲能空間以外</v>
      </c>
      <c r="V93" s="10" t="str">
        <f>IFERROR(__xludf.DUMMYFUNCTION("""COMPUTED_VALUE"""),"Impact 45")</f>
        <v>Impact 45</v>
      </c>
      <c r="W93" s="1"/>
      <c r="X93" s="1"/>
      <c r="Y93" s="1"/>
      <c r="Z93" s="1"/>
    </row>
    <row r="94" ht="6.75" customHeight="1">
      <c r="A94" s="1"/>
      <c r="B94" s="1"/>
      <c r="C94" s="1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7"/>
      <c r="U94" s="13" t="str">
        <f>IFERROR(__xludf.DUMMYFUNCTION("""COMPUTED_VALUE"""),"R090=45.3% ~ 50.1%")</f>
        <v>R090=45.3% ~ 50.1%</v>
      </c>
      <c r="V94" s="10" t="str">
        <f>IFERROR(__xludf.DUMMYFUNCTION("""COMPUTED_VALUE"""),"P(45)=0.037%")</f>
        <v>P(45)=0.037%</v>
      </c>
      <c r="W94" s="1"/>
      <c r="X94" s="1"/>
      <c r="Y94" s="1"/>
      <c r="Z94" s="1"/>
    </row>
    <row r="95" ht="6.75" customHeight="1">
      <c r="A95" s="1"/>
      <c r="B95" s="1"/>
      <c r="C95" s="1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30" t="str">
        <f>IFERROR(__xludf.DUMMYFUNCTION("""COMPUTED_VALUE"""),"9-16-消防系統無法發揮冷卻作用")</f>
        <v>9-16-消防系統無法發揮冷卻作用</v>
      </c>
      <c r="U95" s="26"/>
      <c r="V95" s="1"/>
      <c r="W95" s="1"/>
      <c r="X95" s="1"/>
      <c r="Y95" s="1"/>
      <c r="Z95" s="1"/>
    </row>
    <row r="96" ht="6.75" customHeight="1">
      <c r="A96" s="1"/>
      <c r="B96" s="1"/>
      <c r="C96" s="1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32" t="str">
        <f>IFERROR(__xludf.DUMMYFUNCTION("""COMPUTED_VALUE"""),"R089=40.6% ~ 46.3%")</f>
        <v>R089=40.6% ~ 46.3%</v>
      </c>
      <c r="U96" s="30" t="str">
        <f>IFERROR(__xludf.DUMMYFUNCTION("""COMPUTED_VALUE"""),"10-32-熱煙或毒性氣體危害至儲能空間以外")</f>
        <v>10-32-熱煙或毒性氣體危害至儲能空間以外</v>
      </c>
      <c r="V96" s="10" t="str">
        <f>IFERROR(__xludf.DUMMYFUNCTION("""COMPUTED_VALUE"""),"Impact 46")</f>
        <v>Impact 46</v>
      </c>
      <c r="W96" s="1"/>
      <c r="X96" s="1"/>
      <c r="Y96" s="1"/>
      <c r="Z96" s="1"/>
    </row>
    <row r="97" ht="6.75" customHeight="1">
      <c r="A97" s="1"/>
      <c r="B97" s="1"/>
      <c r="C97" s="1"/>
      <c r="D97" s="7"/>
      <c r="E97" s="1"/>
      <c r="F97" s="1"/>
      <c r="G97" s="1"/>
      <c r="H97" s="8" t="str">
        <f>IFERROR(__xludf.DUMMYFUNCTION("""COMPUTED_VALUE"""),"3-5-電芯未發生熱失控")</f>
        <v>3-5-電芯未發生熱失控</v>
      </c>
      <c r="I97" s="9"/>
      <c r="J97" s="10" t="str">
        <f>IFERROR(__xludf.DUMMYFUNCTION("""COMPUTED_VALUE"""),"Impact 47")</f>
        <v>Impact 47</v>
      </c>
      <c r="K97" s="1"/>
      <c r="L97" s="8" t="str">
        <f>IFERROR(__xludf.DUMMYFUNCTION("""COMPUTED_VALUE"""),"5-9-未發生電芯熱失控傳播現象")</f>
        <v>5-9-未發生電芯熱失控傳播現象</v>
      </c>
      <c r="M97" s="9"/>
      <c r="N97" s="10" t="str">
        <f>IFERROR(__xludf.DUMMYFUNCTION("""COMPUTED_VALUE"""),"Impact 48")</f>
        <v>Impact 48</v>
      </c>
      <c r="O97" s="1"/>
      <c r="P97" s="1"/>
      <c r="Q97" s="1"/>
      <c r="R97" s="1"/>
      <c r="S97" s="1"/>
      <c r="T97" s="1"/>
      <c r="U97" s="32" t="str">
        <f>IFERROR(__xludf.DUMMYFUNCTION("""COMPUTED_VALUE"""),"R091=49.9% ~ 54.7%")</f>
        <v>R091=49.9% ~ 54.7%</v>
      </c>
      <c r="V97" s="10" t="str">
        <f>IFERROR(__xludf.DUMMYFUNCTION("""COMPUTED_VALUE"""),"P(46)=0.041%")</f>
        <v>P(46)=0.041%</v>
      </c>
      <c r="W97" s="1"/>
      <c r="X97" s="1"/>
      <c r="Y97" s="1"/>
      <c r="Z97" s="1"/>
    </row>
    <row r="98" ht="6.75" customHeight="1">
      <c r="A98" s="1"/>
      <c r="B98" s="1"/>
      <c r="C98" s="1"/>
      <c r="D98" s="7"/>
      <c r="E98" s="1"/>
      <c r="F98" s="1"/>
      <c r="G98" s="1"/>
      <c r="H98" s="13" t="str">
        <f>IFERROR(__xludf.DUMMYFUNCTION("""COMPUTED_VALUE"""),"R094=75.2% ~ 83.2%")</f>
        <v>R094=75.2% ~ 83.2%</v>
      </c>
      <c r="I98" s="15"/>
      <c r="J98" s="10" t="str">
        <f>IFERROR(__xludf.DUMMYFUNCTION("""COMPUTED_VALUE"""),"P(47)=10.455%")</f>
        <v>P(47)=10.455%</v>
      </c>
      <c r="K98" s="1"/>
      <c r="L98" s="13" t="str">
        <f>IFERROR(__xludf.DUMMYFUNCTION("""COMPUTED_VALUE"""),"R097=61.1% ~ 67.5%")</f>
        <v>R097=61.1% ~ 67.5%</v>
      </c>
      <c r="M98" s="15"/>
      <c r="N98" s="10" t="str">
        <f>IFERROR(__xludf.DUMMYFUNCTION("""COMPUTED_VALUE"""),"P(48)=0.474%")</f>
        <v>P(48)=0.474%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6.75" customHeight="1">
      <c r="A99" s="1"/>
      <c r="B99" s="1"/>
      <c r="C99" s="1"/>
      <c r="D99" s="7"/>
      <c r="E99" s="1"/>
      <c r="F99" s="1"/>
      <c r="G99" s="1"/>
      <c r="H99" s="7"/>
      <c r="I99" s="1"/>
      <c r="J99" s="8" t="str">
        <f>IFERROR(__xludf.DUMMYFUNCTION("""COMPUTED_VALUE"""),"4-5-通風排出裝置啟動")</f>
        <v>4-5-通風排出裝置啟動</v>
      </c>
      <c r="K99" s="20"/>
      <c r="L99" s="7"/>
      <c r="M99" s="1"/>
      <c r="N99" s="8" t="str">
        <f>IFERROR(__xludf.DUMMYFUNCTION("""COMPUTED_VALUE"""),"6-9-未發生模組熱失控傳播現象")</f>
        <v>6-9-未發生模組熱失控傳播現象</v>
      </c>
      <c r="O99" s="9"/>
      <c r="P99" s="10" t="str">
        <f>IFERROR(__xludf.DUMMYFUNCTION("""COMPUTED_VALUE"""),"Impact 49")</f>
        <v>Impact 49</v>
      </c>
      <c r="Q99" s="1"/>
      <c r="R99" s="1"/>
      <c r="S99" s="1"/>
      <c r="T99" s="1"/>
      <c r="U99" s="8" t="str">
        <f>IFERROR(__xludf.DUMMYFUNCTION("""COMPUTED_VALUE"""),"10-33-熱煙或毒性氣體未危害至儲能空間以外")</f>
        <v>10-33-熱煙或毒性氣體未危害至儲能空間以外</v>
      </c>
      <c r="V99" s="10" t="str">
        <f>IFERROR(__xludf.DUMMYFUNCTION("""COMPUTED_VALUE"""),"Impact 51")</f>
        <v>Impact 51</v>
      </c>
      <c r="W99" s="1"/>
      <c r="X99" s="1"/>
      <c r="Y99" s="1"/>
      <c r="Z99" s="1"/>
    </row>
    <row r="100" ht="6.75" customHeight="1">
      <c r="A100" s="1"/>
      <c r="B100" s="1"/>
      <c r="C100" s="1"/>
      <c r="D100" s="7"/>
      <c r="E100" s="1"/>
      <c r="F100" s="1"/>
      <c r="G100" s="1"/>
      <c r="H100" s="7"/>
      <c r="I100" s="24"/>
      <c r="J100" s="25" t="str">
        <f>IFERROR(__xludf.DUMMYFUNCTION("""COMPUTED_VALUE"""),"R096=25.0% ~ 27.6%")</f>
        <v>R096=25.0% ~ 27.6%</v>
      </c>
      <c r="K100" s="14"/>
      <c r="L100" s="7"/>
      <c r="M100" s="1"/>
      <c r="N100" s="13" t="str">
        <f>IFERROR(__xludf.DUMMYFUNCTION("""COMPUTED_VALUE"""),"R099=70.0% ~ 77.3%")</f>
        <v>R099=70.0% ~ 77.3%</v>
      </c>
      <c r="O100" s="15"/>
      <c r="P100" s="10" t="str">
        <f>IFERROR(__xludf.DUMMYFUNCTION("""COMPUTED_VALUE"""),"P(49)=0.198%")</f>
        <v>P(49)=0.198%</v>
      </c>
      <c r="Q100" s="1"/>
      <c r="R100" s="1"/>
      <c r="S100" s="1"/>
      <c r="T100" s="8" t="str">
        <f>IFERROR(__xludf.DUMMYFUNCTION("""COMPUTED_VALUE"""),"9-17-消防系統有效發揮冷卻作用")</f>
        <v>9-17-消防系統有效發揮冷卻作用</v>
      </c>
      <c r="U100" s="13" t="str">
        <f>IFERROR(__xludf.DUMMYFUNCTION("""COMPUTED_VALUE"""),"R105=56.6% ~ 62.6%")</f>
        <v>R105=56.6% ~ 62.6%</v>
      </c>
      <c r="V100" s="10" t="str">
        <f>IFERROR(__xludf.DUMMYFUNCTION("""COMPUTED_VALUE"""),"P(51)=0.003%")</f>
        <v>P(51)=0.003%</v>
      </c>
      <c r="W100" s="1"/>
      <c r="X100" s="1"/>
      <c r="Y100" s="1"/>
      <c r="Z100" s="1"/>
    </row>
    <row r="101" ht="6.75" customHeight="1">
      <c r="A101" s="1"/>
      <c r="B101" s="1"/>
      <c r="C101" s="1"/>
      <c r="D101" s="7"/>
      <c r="E101" s="1"/>
      <c r="F101" s="1"/>
      <c r="G101" s="1"/>
      <c r="H101" s="7"/>
      <c r="I101" s="24"/>
      <c r="J101" s="1"/>
      <c r="K101" s="24"/>
      <c r="L101" s="30" t="str">
        <f>IFERROR(__xludf.DUMMYFUNCTION("""COMPUTED_VALUE"""),"5-10-發生電芯熱失控傳播現象")</f>
        <v>5-10-發生電芯熱失控傳播現象</v>
      </c>
      <c r="M101" s="20"/>
      <c r="N101" s="7"/>
      <c r="O101" s="1"/>
      <c r="P101" s="8" t="str">
        <f>IFERROR(__xludf.DUMMYFUNCTION("""COMPUTED_VALUE"""),"7-9-未發生電池櫃熱失控傳播現象")</f>
        <v>7-9-未發生電池櫃熱失控傳播現象</v>
      </c>
      <c r="Q101" s="9"/>
      <c r="R101" s="10" t="str">
        <f>IFERROR(__xludf.DUMMYFUNCTION("""COMPUTED_VALUE"""),"Impact 50")</f>
        <v>Impact 50</v>
      </c>
      <c r="S101" s="1"/>
      <c r="T101" s="13" t="str">
        <f>IFERROR(__xludf.DUMMYFUNCTION("""COMPUTED_VALUE"""),"R104=63.2% ~ 69.9%")</f>
        <v>R104=63.2% ~ 69.9%</v>
      </c>
      <c r="U101" s="26"/>
      <c r="V101" s="1"/>
      <c r="W101" s="1"/>
      <c r="X101" s="1"/>
      <c r="Y101" s="1"/>
      <c r="Z101" s="1"/>
    </row>
    <row r="102" ht="6.75" customHeight="1">
      <c r="A102" s="1"/>
      <c r="B102" s="1"/>
      <c r="C102" s="1"/>
      <c r="D102" s="7"/>
      <c r="E102" s="1"/>
      <c r="F102" s="1"/>
      <c r="G102" s="1"/>
      <c r="H102" s="7"/>
      <c r="I102" s="24"/>
      <c r="J102" s="1"/>
      <c r="K102" s="1"/>
      <c r="L102" s="32" t="str">
        <f>IFERROR(__xludf.DUMMYFUNCTION("""COMPUTED_VALUE"""),"R098=32.5% ~ 38.9%")</f>
        <v>R098=32.5% ~ 38.9%</v>
      </c>
      <c r="M102" s="14"/>
      <c r="N102" s="7"/>
      <c r="O102" s="1"/>
      <c r="P102" s="13" t="str">
        <f>IFERROR(__xludf.DUMMYFUNCTION("""COMPUTED_VALUE"""),"R101=73.1% ~ 80.8%")</f>
        <v>R101=73.1% ~ 80.8%</v>
      </c>
      <c r="Q102" s="15"/>
      <c r="R102" s="10" t="str">
        <f>IFERROR(__xludf.DUMMYFUNCTION("""COMPUTED_VALUE"""),"P(50)=0.054%")</f>
        <v>P(50)=0.054%</v>
      </c>
      <c r="S102" s="24"/>
      <c r="T102" s="1"/>
      <c r="U102" s="30" t="str">
        <f>IFERROR(__xludf.DUMMYFUNCTION("""COMPUTED_VALUE"""),"10-34-熱煙或毒性氣體危害至儲能空間以外")</f>
        <v>10-34-熱煙或毒性氣體危害至儲能空間以外</v>
      </c>
      <c r="V102" s="10" t="str">
        <f>IFERROR(__xludf.DUMMYFUNCTION("""COMPUTED_VALUE"""),"Impact 52")</f>
        <v>Impact 52</v>
      </c>
      <c r="W102" s="1"/>
      <c r="X102" s="1"/>
      <c r="Y102" s="1"/>
      <c r="Z102" s="1"/>
    </row>
    <row r="103" ht="6.75" customHeight="1">
      <c r="A103" s="1"/>
      <c r="B103" s="1"/>
      <c r="C103" s="1"/>
      <c r="D103" s="7"/>
      <c r="E103" s="1"/>
      <c r="F103" s="8" t="str">
        <f>IFERROR(__xludf.DUMMYFUNCTION("""COMPUTED_VALUE"""),"2-3-BESS緊急安全關斷")</f>
        <v>2-3-BESS緊急安全關斷</v>
      </c>
      <c r="G103" s="20"/>
      <c r="H103" s="7"/>
      <c r="I103" s="24"/>
      <c r="J103" s="1"/>
      <c r="K103" s="1"/>
      <c r="L103" s="1"/>
      <c r="M103" s="24"/>
      <c r="N103" s="1"/>
      <c r="O103" s="1"/>
      <c r="P103" s="7"/>
      <c r="Q103" s="1"/>
      <c r="R103" s="8" t="str">
        <f>IFERROR(__xludf.DUMMYFUNCTION("""COMPUTED_VALUE"""),"8-9-可燃氣體濃度未達到LFL")</f>
        <v>8-9-可燃氣體濃度未達到LFL</v>
      </c>
      <c r="S103" s="20"/>
      <c r="T103" s="7"/>
      <c r="U103" s="32" t="str">
        <f>IFERROR(__xludf.DUMMYFUNCTION("""COMPUTED_VALUE"""),"R106=37.4% ~ 43.4%")</f>
        <v>R106=37.4% ~ 43.4%</v>
      </c>
      <c r="V103" s="10" t="str">
        <f>IFERROR(__xludf.DUMMYFUNCTION("""COMPUTED_VALUE"""),"P(52)=0.002%")</f>
        <v>P(52)=0.002%</v>
      </c>
      <c r="W103" s="1"/>
      <c r="X103" s="1"/>
      <c r="Y103" s="1"/>
      <c r="Z103" s="1"/>
    </row>
    <row r="104" ht="6.75" customHeight="1">
      <c r="A104" s="1"/>
      <c r="B104" s="1"/>
      <c r="C104" s="1"/>
      <c r="D104" s="7"/>
      <c r="E104" s="1"/>
      <c r="F104" s="13" t="str">
        <f>IFERROR(__xludf.DUMMYFUNCTION("""COMPUTED_VALUE"""),"R093=34.0% ~ 37.6%")</f>
        <v>R093=34.0% ~ 37.6%</v>
      </c>
      <c r="G104" s="14"/>
      <c r="H104" s="7"/>
      <c r="I104" s="24"/>
      <c r="J104" s="31"/>
      <c r="K104" s="1"/>
      <c r="L104" s="1"/>
      <c r="M104" s="1"/>
      <c r="N104" s="30" t="str">
        <f>IFERROR(__xludf.DUMMYFUNCTION("""COMPUTED_VALUE"""),"6-10-發生模組熱失控傳播現象")</f>
        <v>6-10-發生模組熱失控傳播現象</v>
      </c>
      <c r="O104" s="20"/>
      <c r="P104" s="7"/>
      <c r="Q104" s="1"/>
      <c r="R104" s="13" t="str">
        <f>IFERROR(__xludf.DUMMYFUNCTION("""COMPUTED_VALUE"""),"R103=49.2% ~ 54.4%")</f>
        <v>R103=49.2% ~ 54.4%</v>
      </c>
      <c r="S104" s="14"/>
      <c r="T104" s="7"/>
      <c r="U104" s="1"/>
      <c r="V104" s="1"/>
      <c r="W104" s="1"/>
      <c r="X104" s="1"/>
      <c r="Y104" s="1"/>
      <c r="Z104" s="1"/>
    </row>
    <row r="105" ht="6.75" customHeight="1">
      <c r="A105" s="1"/>
      <c r="B105" s="1"/>
      <c r="C105" s="1"/>
      <c r="D105" s="7"/>
      <c r="E105" s="1"/>
      <c r="F105" s="7"/>
      <c r="G105" s="24"/>
      <c r="H105" s="7"/>
      <c r="I105" s="24"/>
      <c r="J105" s="31"/>
      <c r="K105" s="1"/>
      <c r="L105" s="1"/>
      <c r="M105" s="1"/>
      <c r="N105" s="32" t="str">
        <f>IFERROR(__xludf.DUMMYFUNCTION("""COMPUTED_VALUE"""),"R100=22.7% ~ 30.0%")</f>
        <v>R100=22.7% ~ 30.0%</v>
      </c>
      <c r="O105" s="14"/>
      <c r="P105" s="7"/>
      <c r="Q105" s="1"/>
      <c r="R105" s="7"/>
      <c r="S105" s="1"/>
      <c r="T105" s="7"/>
      <c r="U105" s="8" t="str">
        <f>IFERROR(__xludf.DUMMYFUNCTION("""COMPUTED_VALUE"""),"10-35-熱煙或毒性氣體未危害至儲能空間以外")</f>
        <v>10-35-熱煙或毒性氣體未危害至儲能空間以外</v>
      </c>
      <c r="V105" s="10" t="str">
        <f>IFERROR(__xludf.DUMMYFUNCTION("""COMPUTED_VALUE"""),"Impact 53")</f>
        <v>Impact 53</v>
      </c>
      <c r="W105" s="1"/>
      <c r="X105" s="1"/>
      <c r="Y105" s="1"/>
      <c r="Z105" s="1"/>
    </row>
    <row r="106" ht="6.75" customHeight="1">
      <c r="A106" s="1"/>
      <c r="B106" s="1"/>
      <c r="C106" s="1"/>
      <c r="D106" s="7"/>
      <c r="E106" s="1"/>
      <c r="F106" s="7"/>
      <c r="G106" s="1"/>
      <c r="H106" s="7"/>
      <c r="I106" s="24"/>
      <c r="J106" s="1"/>
      <c r="K106" s="1"/>
      <c r="L106" s="1"/>
      <c r="M106" s="1"/>
      <c r="N106" s="1"/>
      <c r="O106" s="1"/>
      <c r="P106" s="7"/>
      <c r="Q106" s="1"/>
      <c r="R106" s="7"/>
      <c r="S106" s="1"/>
      <c r="T106" s="7"/>
      <c r="U106" s="13" t="str">
        <f>IFERROR(__xludf.DUMMYFUNCTION("""COMPUTED_VALUE"""),"R108=45.3% ~ 50.1%")</f>
        <v>R108=45.3% ~ 50.1%</v>
      </c>
      <c r="V106" s="10" t="str">
        <f>IFERROR(__xludf.DUMMYFUNCTION("""COMPUTED_VALUE"""),"P(53)=0.001%")</f>
        <v>P(53)=0.001%</v>
      </c>
      <c r="W106" s="1"/>
      <c r="X106" s="1"/>
      <c r="Y106" s="1"/>
      <c r="Z106" s="1"/>
    </row>
    <row r="107" ht="6.75" customHeight="1">
      <c r="A107" s="1"/>
      <c r="B107" s="1"/>
      <c r="C107" s="1"/>
      <c r="D107" s="7"/>
      <c r="E107" s="1"/>
      <c r="F107" s="7"/>
      <c r="G107" s="1"/>
      <c r="H107" s="7"/>
      <c r="I107" s="24"/>
      <c r="J107" s="1"/>
      <c r="K107" s="1"/>
      <c r="L107" s="1"/>
      <c r="M107" s="1"/>
      <c r="N107" s="1"/>
      <c r="O107" s="24"/>
      <c r="P107" s="1"/>
      <c r="Q107" s="1"/>
      <c r="R107" s="7"/>
      <c r="S107" s="1"/>
      <c r="T107" s="30" t="str">
        <f>IFERROR(__xludf.DUMMYFUNCTION("""COMPUTED_VALUE"""),"9-18-消防系統無法發揮冷卻作用")</f>
        <v>9-18-消防系統無法發揮冷卻作用</v>
      </c>
      <c r="U107" s="26"/>
      <c r="V107" s="1"/>
      <c r="W107" s="1"/>
      <c r="X107" s="1"/>
      <c r="Y107" s="1"/>
      <c r="Z107" s="1"/>
    </row>
    <row r="108" ht="6.75" customHeight="1">
      <c r="A108" s="1"/>
      <c r="B108" s="1"/>
      <c r="C108" s="1"/>
      <c r="D108" s="7"/>
      <c r="E108" s="1"/>
      <c r="F108" s="40"/>
      <c r="G108" s="1"/>
      <c r="H108" s="7"/>
      <c r="I108" s="24"/>
      <c r="J108" s="1"/>
      <c r="K108" s="1"/>
      <c r="L108" s="1"/>
      <c r="M108" s="1"/>
      <c r="N108" s="1"/>
      <c r="O108" s="1"/>
      <c r="P108" s="30" t="str">
        <f>IFERROR(__xludf.DUMMYFUNCTION("""COMPUTED_VALUE"""),"7-10-發生電池櫃熱失控傳播現象")</f>
        <v>7-10-發生電池櫃熱失控傳播現象</v>
      </c>
      <c r="Q108" s="20"/>
      <c r="R108" s="7"/>
      <c r="S108" s="1"/>
      <c r="T108" s="32" t="str">
        <f>IFERROR(__xludf.DUMMYFUNCTION("""COMPUTED_VALUE"""),"R107=30.1% ~ 36.8%")</f>
        <v>R107=30.1% ~ 36.8%</v>
      </c>
      <c r="U108" s="30" t="str">
        <f>IFERROR(__xludf.DUMMYFUNCTION("""COMPUTED_VALUE"""),"10-36-熱煙或毒性氣體危害至儲能空間以外")</f>
        <v>10-36-熱煙或毒性氣體危害至儲能空間以外</v>
      </c>
      <c r="V108" s="10" t="str">
        <f>IFERROR(__xludf.DUMMYFUNCTION("""COMPUTED_VALUE"""),"Impact 54")</f>
        <v>Impact 54</v>
      </c>
      <c r="W108" s="1"/>
      <c r="X108" s="1"/>
      <c r="Y108" s="1"/>
      <c r="Z108" s="1"/>
    </row>
    <row r="109" ht="6.75" customHeight="1">
      <c r="A109" s="1"/>
      <c r="B109" s="1"/>
      <c r="C109" s="1"/>
      <c r="D109" s="7"/>
      <c r="E109" s="1"/>
      <c r="F109" s="40"/>
      <c r="G109" s="1"/>
      <c r="H109" s="7"/>
      <c r="I109" s="24"/>
      <c r="J109" s="1"/>
      <c r="K109" s="1"/>
      <c r="L109" s="1"/>
      <c r="M109" s="1"/>
      <c r="N109" s="1"/>
      <c r="O109" s="1"/>
      <c r="P109" s="32" t="str">
        <f>IFERROR(__xludf.DUMMYFUNCTION("""COMPUTED_VALUE"""),"R102=19.2% ~ 26.9%")</f>
        <v>R102=19.2% ~ 26.9%</v>
      </c>
      <c r="Q109" s="14"/>
      <c r="R109" s="7"/>
      <c r="S109" s="1"/>
      <c r="T109" s="1"/>
      <c r="U109" s="32" t="str">
        <f>IFERROR(__xludf.DUMMYFUNCTION("""COMPUTED_VALUE"""),"R109=49.9% ~ 54.7%")</f>
        <v>R109=49.9% ~ 54.7%</v>
      </c>
      <c r="V109" s="10" t="str">
        <f>IFERROR(__xludf.DUMMYFUNCTION("""COMPUTED_VALUE"""),"P(54)=0.001%")</f>
        <v>P(54)=0.001%</v>
      </c>
      <c r="W109" s="1"/>
      <c r="X109" s="1"/>
      <c r="Y109" s="1"/>
      <c r="Z109" s="1"/>
    </row>
    <row r="110" ht="6.75" customHeight="1">
      <c r="A110" s="1"/>
      <c r="B110" s="1"/>
      <c r="C110" s="1"/>
      <c r="D110" s="7"/>
      <c r="E110" s="1"/>
      <c r="F110" s="7"/>
      <c r="G110" s="1"/>
      <c r="H110" s="30" t="str">
        <f>IFERROR(__xludf.DUMMYFUNCTION("""COMPUTED_VALUE"""),"3-6-電芯發生熱失控")</f>
        <v>3-6-電芯發生熱失控</v>
      </c>
      <c r="I110" s="20"/>
      <c r="J110" s="1"/>
      <c r="K110" s="1"/>
      <c r="L110" s="1"/>
      <c r="M110" s="1"/>
      <c r="N110" s="1"/>
      <c r="O110" s="1"/>
      <c r="P110" s="1"/>
      <c r="Q110" s="1"/>
      <c r="R110" s="7"/>
      <c r="S110" s="1"/>
      <c r="T110" s="1"/>
      <c r="U110" s="1"/>
      <c r="V110" s="1"/>
      <c r="W110" s="1"/>
      <c r="X110" s="1"/>
      <c r="Y110" s="1"/>
      <c r="Z110" s="1"/>
    </row>
    <row r="111" ht="6.75" customHeight="1">
      <c r="A111" s="1"/>
      <c r="B111" s="1"/>
      <c r="C111" s="1"/>
      <c r="D111" s="7"/>
      <c r="E111" s="1"/>
      <c r="F111" s="7"/>
      <c r="G111" s="1"/>
      <c r="H111" s="32" t="str">
        <f>IFERROR(__xludf.DUMMYFUNCTION("""COMPUTED_VALUE"""),"R095=16.8% ~ 24.8%")</f>
        <v>R095=16.8% ~ 24.8%</v>
      </c>
      <c r="I111" s="14"/>
      <c r="J111" s="1"/>
      <c r="K111" s="1"/>
      <c r="L111" s="1"/>
      <c r="M111" s="1"/>
      <c r="N111" s="1"/>
      <c r="O111" s="1"/>
      <c r="P111" s="1"/>
      <c r="Q111" s="1"/>
      <c r="R111" s="7"/>
      <c r="S111" s="1"/>
      <c r="T111" s="1"/>
      <c r="U111" s="8" t="str">
        <f>IFERROR(__xludf.DUMMYFUNCTION("""COMPUTED_VALUE"""),"10-37-熱煙或毒性氣體未危害至儲能空間以外")</f>
        <v>10-37-熱煙或毒性氣體未危害至儲能空間以外</v>
      </c>
      <c r="V111" s="10" t="str">
        <f>IFERROR(__xludf.DUMMYFUNCTION("""COMPUTED_VALUE"""),"Impact 55")</f>
        <v>Impact 55</v>
      </c>
      <c r="W111" s="1"/>
      <c r="X111" s="1"/>
      <c r="Y111" s="1"/>
      <c r="Z111" s="1"/>
    </row>
    <row r="112" ht="6.75" customHeight="1">
      <c r="A112" s="1"/>
      <c r="B112" s="1"/>
      <c r="C112" s="1"/>
      <c r="D112" s="7"/>
      <c r="E112" s="1"/>
      <c r="F112" s="7"/>
      <c r="G112" s="1"/>
      <c r="H112" s="1"/>
      <c r="I112" s="24"/>
      <c r="J112" s="1"/>
      <c r="K112" s="1"/>
      <c r="L112" s="1"/>
      <c r="M112" s="1"/>
      <c r="N112" s="1"/>
      <c r="O112" s="1"/>
      <c r="P112" s="1"/>
      <c r="Q112" s="1"/>
      <c r="R112" s="7"/>
      <c r="S112" s="1"/>
      <c r="T112" s="8" t="str">
        <f>IFERROR(__xludf.DUMMYFUNCTION("""COMPUTED_VALUE"""),"9-19-消防系統有效發揮冷卻作用")</f>
        <v>9-19-消防系統有效發揮冷卻作用</v>
      </c>
      <c r="U112" s="13" t="str">
        <f>IFERROR(__xludf.DUMMYFUNCTION("""COMPUTED_VALUE"""),"R112=56.6% ~ 62.6%")</f>
        <v>R112=56.6% ~ 62.6%</v>
      </c>
      <c r="V112" s="10" t="str">
        <f>IFERROR(__xludf.DUMMYFUNCTION("""COMPUTED_VALUE"""),"P(55)=0.003%")</f>
        <v>P(55)=0.003%</v>
      </c>
      <c r="W112" s="1"/>
      <c r="X112" s="1"/>
      <c r="Y112" s="1"/>
      <c r="Z112" s="1"/>
    </row>
    <row r="113" ht="6.75" customHeight="1">
      <c r="A113" s="1"/>
      <c r="B113" s="1"/>
      <c r="C113" s="1"/>
      <c r="D113" s="7"/>
      <c r="E113" s="1"/>
      <c r="F113" s="7"/>
      <c r="G113" s="1"/>
      <c r="H113" s="1"/>
      <c r="I113" s="24"/>
      <c r="J113" s="1"/>
      <c r="K113" s="1"/>
      <c r="L113" s="1"/>
      <c r="M113" s="1"/>
      <c r="N113" s="1"/>
      <c r="O113" s="1"/>
      <c r="P113" s="1"/>
      <c r="Q113" s="1"/>
      <c r="R113" s="7"/>
      <c r="S113" s="1"/>
      <c r="T113" s="13" t="str">
        <f>IFERROR(__xludf.DUMMYFUNCTION("""COMPUTED_VALUE"""),"R111=53.7% ~ 59.4%")</f>
        <v>R111=53.7% ~ 59.4%</v>
      </c>
      <c r="U113" s="26"/>
      <c r="V113" s="1"/>
      <c r="W113" s="1"/>
      <c r="X113" s="1"/>
      <c r="Y113" s="1"/>
      <c r="Z113" s="1"/>
    </row>
    <row r="114" ht="6.75" customHeight="1">
      <c r="A114" s="1"/>
      <c r="B114" s="1"/>
      <c r="C114" s="1"/>
      <c r="D114" s="7"/>
      <c r="E114" s="1"/>
      <c r="F114" s="7"/>
      <c r="G114" s="1"/>
      <c r="H114" s="1"/>
      <c r="I114" s="24"/>
      <c r="J114" s="1"/>
      <c r="K114" s="1"/>
      <c r="L114" s="1"/>
      <c r="M114" s="1"/>
      <c r="N114" s="1"/>
      <c r="O114" s="1"/>
      <c r="P114" s="1"/>
      <c r="Q114" s="24"/>
      <c r="R114" s="1"/>
      <c r="S114" s="24"/>
      <c r="T114" s="1"/>
      <c r="U114" s="30" t="str">
        <f>IFERROR(__xludf.DUMMYFUNCTION("""COMPUTED_VALUE"""),"10-38-熱煙或毒性氣體危害至儲能空間以外")</f>
        <v>10-38-熱煙或毒性氣體危害至儲能空間以外</v>
      </c>
      <c r="V114" s="10" t="str">
        <f>IFERROR(__xludf.DUMMYFUNCTION("""COMPUTED_VALUE"""),"Impact 56")</f>
        <v>Impact 56</v>
      </c>
      <c r="W114" s="1"/>
      <c r="X114" s="1"/>
      <c r="Y114" s="1"/>
      <c r="Z114" s="1"/>
    </row>
    <row r="115" ht="6.75" customHeight="1">
      <c r="A115" s="1"/>
      <c r="B115" s="1"/>
      <c r="C115" s="1"/>
      <c r="D115" s="7"/>
      <c r="E115" s="1"/>
      <c r="F115" s="7"/>
      <c r="G115" s="1"/>
      <c r="H115" s="1"/>
      <c r="I115" s="24"/>
      <c r="J115" s="1"/>
      <c r="K115" s="1"/>
      <c r="L115" s="1"/>
      <c r="M115" s="1"/>
      <c r="N115" s="1"/>
      <c r="O115" s="1"/>
      <c r="P115" s="1"/>
      <c r="Q115" s="1"/>
      <c r="R115" s="30" t="str">
        <f>IFERROR(__xludf.DUMMYFUNCTION("""COMPUTED_VALUE"""),"8-10-可燃氣體濃度達到LFL")</f>
        <v>8-10-可燃氣體濃度達到LFL</v>
      </c>
      <c r="S115" s="20"/>
      <c r="T115" s="7"/>
      <c r="U115" s="32" t="str">
        <f>IFERROR(__xludf.DUMMYFUNCTION("""COMPUTED_VALUE"""),"R113=37.4% ~ 43.4%")</f>
        <v>R113=37.4% ~ 43.4%</v>
      </c>
      <c r="V115" s="10" t="str">
        <f>IFERROR(__xludf.DUMMYFUNCTION("""COMPUTED_VALUE"""),"P(56)=0.002%")</f>
        <v>P(56)=0.002%</v>
      </c>
      <c r="W115" s="1"/>
      <c r="X115" s="1"/>
      <c r="Y115" s="1"/>
      <c r="Z115" s="1"/>
    </row>
    <row r="116" ht="6.75" customHeight="1">
      <c r="A116" s="1"/>
      <c r="B116" s="1"/>
      <c r="C116" s="1"/>
      <c r="D116" s="7"/>
      <c r="E116" s="1"/>
      <c r="F116" s="7"/>
      <c r="G116" s="1"/>
      <c r="H116" s="1"/>
      <c r="I116" s="24"/>
      <c r="J116" s="1"/>
      <c r="K116" s="1"/>
      <c r="L116" s="1"/>
      <c r="M116" s="1"/>
      <c r="N116" s="1"/>
      <c r="O116" s="1"/>
      <c r="P116" s="1"/>
      <c r="Q116" s="1"/>
      <c r="R116" s="32" t="str">
        <f>IFERROR(__xludf.DUMMYFUNCTION("""COMPUTED_VALUE"""),"R110=45.6% ~ 50.8%")</f>
        <v>R110=45.6% ~ 50.8%</v>
      </c>
      <c r="S116" s="14"/>
      <c r="T116" s="7"/>
      <c r="U116" s="1"/>
      <c r="V116" s="1"/>
      <c r="W116" s="1"/>
      <c r="X116" s="1"/>
      <c r="Y116" s="1"/>
      <c r="Z116" s="1"/>
    </row>
    <row r="117" ht="6.75" customHeight="1">
      <c r="A117" s="1"/>
      <c r="B117" s="1"/>
      <c r="C117" s="1"/>
      <c r="D117" s="7"/>
      <c r="E117" s="1"/>
      <c r="F117" s="7"/>
      <c r="G117" s="1"/>
      <c r="H117" s="1"/>
      <c r="I117" s="2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7"/>
      <c r="U117" s="8" t="str">
        <f>IFERROR(__xludf.DUMMYFUNCTION("""COMPUTED_VALUE"""),"10-39-熱煙或毒性氣體未危害至儲能空間以外")</f>
        <v>10-39-熱煙或毒性氣體未危害至儲能空間以外</v>
      </c>
      <c r="V117" s="10" t="str">
        <f>IFERROR(__xludf.DUMMYFUNCTION("""COMPUTED_VALUE"""),"Impact 57")</f>
        <v>Impact 57</v>
      </c>
      <c r="W117" s="1"/>
      <c r="X117" s="1"/>
      <c r="Y117" s="1"/>
      <c r="Z117" s="1"/>
    </row>
    <row r="118" ht="6.75" customHeight="1">
      <c r="A118" s="1"/>
      <c r="B118" s="1"/>
      <c r="C118" s="1"/>
      <c r="D118" s="7"/>
      <c r="E118" s="1"/>
      <c r="F118" s="7"/>
      <c r="G118" s="1"/>
      <c r="H118" s="1"/>
      <c r="I118" s="2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7"/>
      <c r="U118" s="13" t="str">
        <f>IFERROR(__xludf.DUMMYFUNCTION("""COMPUTED_VALUE"""),"R115=45.3% ~ 50.1%")</f>
        <v>R115=45.3% ~ 50.1%</v>
      </c>
      <c r="V118" s="10" t="str">
        <f>IFERROR(__xludf.DUMMYFUNCTION("""COMPUTED_VALUE"""),"P(57)=0.002%")</f>
        <v>P(57)=0.002%</v>
      </c>
      <c r="W118" s="1"/>
      <c r="X118" s="1"/>
      <c r="Y118" s="1"/>
      <c r="Z118" s="1"/>
    </row>
    <row r="119" ht="6.75" customHeight="1">
      <c r="A119" s="1"/>
      <c r="B119" s="1"/>
      <c r="C119" s="1"/>
      <c r="D119" s="7"/>
      <c r="E119" s="1"/>
      <c r="F119" s="7"/>
      <c r="G119" s="1"/>
      <c r="H119" s="1"/>
      <c r="I119" s="2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30" t="str">
        <f>IFERROR(__xludf.DUMMYFUNCTION("""COMPUTED_VALUE"""),"9-20-消防系統無法發揮冷卻作用")</f>
        <v>9-20-消防系統無法發揮冷卻作用</v>
      </c>
      <c r="U119" s="26"/>
      <c r="V119" s="1"/>
      <c r="W119" s="1"/>
      <c r="X119" s="1"/>
      <c r="Y119" s="1"/>
      <c r="Z119" s="1"/>
    </row>
    <row r="120" ht="6.75" customHeight="1">
      <c r="A120" s="1"/>
      <c r="B120" s="1"/>
      <c r="C120" s="1"/>
      <c r="D120" s="7"/>
      <c r="E120" s="1"/>
      <c r="F120" s="7"/>
      <c r="G120" s="1"/>
      <c r="H120" s="1"/>
      <c r="I120" s="2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32" t="str">
        <f>IFERROR(__xludf.DUMMYFUNCTION("""COMPUTED_VALUE"""),"R114=40.6% ~ 46.3%")</f>
        <v>R114=40.6% ~ 46.3%</v>
      </c>
      <c r="U120" s="30" t="str">
        <f>IFERROR(__xludf.DUMMYFUNCTION("""COMPUTED_VALUE"""),"10-40-熱煙或毒性氣體危害至儲能空間以外")</f>
        <v>10-40-熱煙或毒性氣體危害至儲能空間以外</v>
      </c>
      <c r="V120" s="10" t="str">
        <f>IFERROR(__xludf.DUMMYFUNCTION("""COMPUTED_VALUE"""),"Impact 58")</f>
        <v>Impact 58</v>
      </c>
      <c r="W120" s="1"/>
      <c r="X120" s="1"/>
      <c r="Y120" s="1"/>
      <c r="Z120" s="1"/>
    </row>
    <row r="121" ht="6.75" customHeight="1">
      <c r="A121" s="1"/>
      <c r="B121" s="1"/>
      <c r="C121" s="1"/>
      <c r="D121" s="7"/>
      <c r="E121" s="1"/>
      <c r="F121" s="7"/>
      <c r="G121" s="1"/>
      <c r="H121" s="1"/>
      <c r="I121" s="24"/>
      <c r="J121" s="1"/>
      <c r="K121" s="1"/>
      <c r="L121" s="8" t="str">
        <f>IFERROR(__xludf.DUMMYFUNCTION("""COMPUTED_VALUE"""),"5-11-未發生電芯熱失控傳播現象")</f>
        <v>5-11-未發生電芯熱失控傳播現象</v>
      </c>
      <c r="M121" s="9"/>
      <c r="N121" s="10" t="str">
        <f>IFERROR(__xludf.DUMMYFUNCTION("""COMPUTED_VALUE"""),"Impact 59")</f>
        <v>Impact 59</v>
      </c>
      <c r="O121" s="1"/>
      <c r="P121" s="1"/>
      <c r="Q121" s="1"/>
      <c r="R121" s="1"/>
      <c r="S121" s="1"/>
      <c r="T121" s="1"/>
      <c r="U121" s="32" t="str">
        <f>IFERROR(__xludf.DUMMYFUNCTION("""COMPUTED_VALUE"""),"R116=49.9% ~ 54.7%")</f>
        <v>R116=49.9% ~ 54.7%</v>
      </c>
      <c r="V121" s="10" t="str">
        <f>IFERROR(__xludf.DUMMYFUNCTION("""COMPUTED_VALUE"""),"P(58)=0.002%")</f>
        <v>P(58)=0.002%</v>
      </c>
      <c r="W121" s="1"/>
      <c r="X121" s="1"/>
      <c r="Y121" s="1"/>
      <c r="Z121" s="1"/>
    </row>
    <row r="122" ht="6.75" customHeight="1">
      <c r="A122" s="1"/>
      <c r="B122" s="1"/>
      <c r="C122" s="1"/>
      <c r="D122" s="7"/>
      <c r="E122" s="1"/>
      <c r="F122" s="7"/>
      <c r="G122" s="1"/>
      <c r="H122" s="1"/>
      <c r="I122" s="24"/>
      <c r="J122" s="1"/>
      <c r="K122" s="1"/>
      <c r="L122" s="13" t="str">
        <f>IFERROR(__xludf.DUMMYFUNCTION("""COMPUTED_VALUE"""),"R118=61.1% ~ 67.5%")</f>
        <v>R118=61.1% ~ 67.5%</v>
      </c>
      <c r="M122" s="15"/>
      <c r="N122" s="10" t="str">
        <f>IFERROR(__xludf.DUMMYFUNCTION("""COMPUTED_VALUE"""),"P(59)=1.326%")</f>
        <v>P(59)=1.326%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6.75" customHeight="1">
      <c r="A123" s="1"/>
      <c r="B123" s="1"/>
      <c r="C123" s="1"/>
      <c r="D123" s="7"/>
      <c r="E123" s="1"/>
      <c r="F123" s="7"/>
      <c r="G123" s="1"/>
      <c r="H123" s="1"/>
      <c r="I123" s="24"/>
      <c r="J123" s="43" t="str">
        <f>IFERROR(__xludf.DUMMYFUNCTION("""COMPUTED_VALUE"""),"4-6-通風排出裝置未啟動")</f>
        <v>4-6-通風排出裝置未啟動</v>
      </c>
      <c r="K123" s="20"/>
      <c r="L123" s="7"/>
      <c r="M123" s="1"/>
      <c r="N123" s="8" t="str">
        <f>IFERROR(__xludf.DUMMYFUNCTION("""COMPUTED_VALUE"""),"6-11-未發生模組熱失控傳播現象")</f>
        <v>6-11-未發生模組熱失控傳播現象</v>
      </c>
      <c r="O123" s="9"/>
      <c r="P123" s="10" t="str">
        <f>IFERROR(__xludf.DUMMYFUNCTION("""COMPUTED_VALUE"""),"Impact 60")</f>
        <v>Impact 60</v>
      </c>
      <c r="Q123" s="1"/>
      <c r="R123" s="1"/>
      <c r="S123" s="1"/>
      <c r="T123" s="1"/>
      <c r="U123" s="8" t="str">
        <f>IFERROR(__xludf.DUMMYFUNCTION("""COMPUTED_VALUE"""),"10-41-熱煙或毒性氣體未危害至儲能空間以外")</f>
        <v>10-41-熱煙或毒性氣體未危害至儲能空間以外</v>
      </c>
      <c r="V123" s="10" t="str">
        <f>IFERROR(__xludf.DUMMYFUNCTION("""COMPUTED_VALUE"""),"Impact 62")</f>
        <v>Impact 62</v>
      </c>
      <c r="W123" s="1"/>
      <c r="X123" s="1"/>
      <c r="Y123" s="1"/>
      <c r="Z123" s="1"/>
    </row>
    <row r="124" ht="6.75" customHeight="1">
      <c r="A124" s="1"/>
      <c r="B124" s="1"/>
      <c r="C124" s="1"/>
      <c r="D124" s="7"/>
      <c r="E124" s="1"/>
      <c r="F124" s="7"/>
      <c r="G124" s="1"/>
      <c r="H124" s="1"/>
      <c r="I124" s="1"/>
      <c r="J124" s="32" t="str">
        <f>IFERROR(__xludf.DUMMYFUNCTION("""COMPUTED_VALUE"""),"R117=72.4% ~ 75.0%")</f>
        <v>R117=72.4% ~ 75.0%</v>
      </c>
      <c r="K124" s="14"/>
      <c r="L124" s="7"/>
      <c r="M124" s="1"/>
      <c r="N124" s="13" t="str">
        <f>IFERROR(__xludf.DUMMYFUNCTION("""COMPUTED_VALUE"""),"R120=70.0% ~ 77.3%")</f>
        <v>R120=70.0% ~ 77.3%</v>
      </c>
      <c r="O124" s="15"/>
      <c r="P124" s="10" t="str">
        <f>IFERROR(__xludf.DUMMYFUNCTION("""COMPUTED_VALUE"""),"P(60)=0.537%")</f>
        <v>P(60)=0.537%</v>
      </c>
      <c r="Q124" s="1"/>
      <c r="R124" s="1"/>
      <c r="S124" s="1"/>
      <c r="T124" s="8" t="str">
        <f>IFERROR(__xludf.DUMMYFUNCTION("""COMPUTED_VALUE"""),"9-21-消防系統有效發揮冷卻作用")</f>
        <v>9-21-消防系統有效發揮冷卻作用</v>
      </c>
      <c r="U124" s="13" t="str">
        <f>IFERROR(__xludf.DUMMYFUNCTION("""COMPUTED_VALUE"""),"R126=56.6% ~ 62.6%")</f>
        <v>R126=56.6% ~ 62.6%</v>
      </c>
      <c r="V124" s="10" t="str">
        <f>IFERROR(__xludf.DUMMYFUNCTION("""COMPUTED_VALUE"""),"P(62)=0.005%")</f>
        <v>P(62)=0.005%</v>
      </c>
      <c r="W124" s="1"/>
      <c r="X124" s="1"/>
      <c r="Y124" s="1"/>
      <c r="Z124" s="1"/>
    </row>
    <row r="125" ht="6.75" customHeight="1">
      <c r="A125" s="1"/>
      <c r="B125" s="1"/>
      <c r="C125" s="1"/>
      <c r="D125" s="7"/>
      <c r="E125" s="1"/>
      <c r="F125" s="7"/>
      <c r="G125" s="1"/>
      <c r="H125" s="1"/>
      <c r="I125" s="1"/>
      <c r="J125" s="1"/>
      <c r="K125" s="24"/>
      <c r="L125" s="30" t="str">
        <f>IFERROR(__xludf.DUMMYFUNCTION("""COMPUTED_VALUE"""),"5-12-發生電芯熱失控傳播現象")</f>
        <v>5-12-發生電芯熱失控傳播現象</v>
      </c>
      <c r="M125" s="20"/>
      <c r="N125" s="7"/>
      <c r="O125" s="1"/>
      <c r="P125" s="8" t="str">
        <f>IFERROR(__xludf.DUMMYFUNCTION("""COMPUTED_VALUE"""),"7-11-未發生電池櫃熱失控傳播現象")</f>
        <v>7-11-未發生電池櫃熱失控傳播現象</v>
      </c>
      <c r="Q125" s="9"/>
      <c r="R125" s="10" t="str">
        <f>IFERROR(__xludf.DUMMYFUNCTION("""COMPUTED_VALUE"""),"Impact 61")</f>
        <v>Impact 61</v>
      </c>
      <c r="S125" s="1"/>
      <c r="T125" s="13" t="str">
        <f>IFERROR(__xludf.DUMMYFUNCTION("""COMPUTED_VALUE"""),"R125=63.2% ~ 69.9%")</f>
        <v>R125=63.2% ~ 69.9%</v>
      </c>
      <c r="U125" s="26"/>
      <c r="V125" s="1"/>
      <c r="W125" s="1"/>
      <c r="X125" s="1"/>
      <c r="Y125" s="1"/>
      <c r="Z125" s="1"/>
    </row>
    <row r="126" ht="6.75" customHeight="1">
      <c r="A126" s="1"/>
      <c r="B126" s="1"/>
      <c r="C126" s="1"/>
      <c r="D126" s="30" t="str">
        <f>IFERROR(__xludf.DUMMYFUNCTION("""COMPUTED_VALUE"""),"1-2-值班室或EWCS未通報電池異常")</f>
        <v>1-2-值班室或EWCS未通報電池異常</v>
      </c>
      <c r="E126" s="20"/>
      <c r="F126" s="7"/>
      <c r="G126" s="1"/>
      <c r="H126" s="1"/>
      <c r="I126" s="1"/>
      <c r="J126" s="1"/>
      <c r="K126" s="1"/>
      <c r="L126" s="32" t="str">
        <f>IFERROR(__xludf.DUMMYFUNCTION("""COMPUTED_VALUE"""),"R119=32.5% ~ 38.9%")</f>
        <v>R119=32.5% ~ 38.9%</v>
      </c>
      <c r="M126" s="14"/>
      <c r="N126" s="7"/>
      <c r="O126" s="1"/>
      <c r="P126" s="13" t="str">
        <f>IFERROR(__xludf.DUMMYFUNCTION("""COMPUTED_VALUE"""),"R122=73.1% ~ 80.8%")</f>
        <v>R122=73.1% ~ 80.8%</v>
      </c>
      <c r="Q126" s="15"/>
      <c r="R126" s="10" t="str">
        <f>IFERROR(__xludf.DUMMYFUNCTION("""COMPUTED_VALUE"""),"P(61)=0.146%")</f>
        <v>P(61)=0.146%</v>
      </c>
      <c r="S126" s="24"/>
      <c r="T126" s="1"/>
      <c r="U126" s="30" t="str">
        <f>IFERROR(__xludf.DUMMYFUNCTION("""COMPUTED_VALUE"""),"10-42-熱煙或毒性氣體危害至儲能空間以外")</f>
        <v>10-42-熱煙或毒性氣體危害至儲能空間以外</v>
      </c>
      <c r="V126" s="10" t="str">
        <f>IFERROR(__xludf.DUMMYFUNCTION("""COMPUTED_VALUE"""),"Impact 63")</f>
        <v>Impact 63</v>
      </c>
      <c r="W126" s="1"/>
      <c r="X126" s="1"/>
      <c r="Y126" s="1"/>
      <c r="Z126" s="1"/>
    </row>
    <row r="127" ht="6.75" customHeight="1">
      <c r="A127" s="1"/>
      <c r="B127" s="1"/>
      <c r="C127" s="1"/>
      <c r="D127" s="32" t="str">
        <f>IFERROR(__xludf.DUMMYFUNCTION("""COMPUTED_VALUE"""),"R092=33.8% ~ 40.1%")</f>
        <v>R092=33.8% ~ 40.1%</v>
      </c>
      <c r="E127" s="14"/>
      <c r="F127" s="7"/>
      <c r="G127" s="1"/>
      <c r="H127" s="1"/>
      <c r="I127" s="1"/>
      <c r="J127" s="1"/>
      <c r="K127" s="1"/>
      <c r="L127" s="1"/>
      <c r="M127" s="24"/>
      <c r="N127" s="1"/>
      <c r="O127" s="1"/>
      <c r="P127" s="7"/>
      <c r="Q127" s="1"/>
      <c r="R127" s="8" t="str">
        <f>IFERROR(__xludf.DUMMYFUNCTION("""COMPUTED_VALUE"""),"8-11-可燃氣體濃度未達到LFL")</f>
        <v>8-11-可燃氣體濃度未達到LFL</v>
      </c>
      <c r="S127" s="20"/>
      <c r="T127" s="7"/>
      <c r="U127" s="32" t="str">
        <f>IFERROR(__xludf.DUMMYFUNCTION("""COMPUTED_VALUE"""),"R127=37.4% ~ 43.4%")</f>
        <v>R127=37.4% ~ 43.4%</v>
      </c>
      <c r="V127" s="10" t="str">
        <f>IFERROR(__xludf.DUMMYFUNCTION("""COMPUTED_VALUE"""),"P(63)=0.003%")</f>
        <v>P(63)=0.003%</v>
      </c>
      <c r="W127" s="1"/>
      <c r="X127" s="1"/>
      <c r="Y127" s="1"/>
      <c r="Z127" s="1"/>
    </row>
    <row r="128" ht="6.75" customHeight="1">
      <c r="A128" s="1"/>
      <c r="B128" s="1"/>
      <c r="C128" s="1"/>
      <c r="D128" s="1"/>
      <c r="E128" s="1"/>
      <c r="F128" s="7"/>
      <c r="G128" s="1"/>
      <c r="H128" s="1"/>
      <c r="I128" s="1"/>
      <c r="J128" s="1"/>
      <c r="K128" s="1"/>
      <c r="L128" s="1"/>
      <c r="M128" s="1"/>
      <c r="N128" s="30" t="str">
        <f>IFERROR(__xludf.DUMMYFUNCTION("""COMPUTED_VALUE"""),"6-12-發生模組熱失控傳播現象")</f>
        <v>6-12-發生模組熱失控傳播現象</v>
      </c>
      <c r="O128" s="20"/>
      <c r="P128" s="7"/>
      <c r="Q128" s="1"/>
      <c r="R128" s="13" t="str">
        <f>IFERROR(__xludf.DUMMYFUNCTION("""COMPUTED_VALUE"""),"R124=24.6% ~ 27.2%")</f>
        <v>R124=24.6% ~ 27.2%</v>
      </c>
      <c r="S128" s="14"/>
      <c r="T128" s="7"/>
      <c r="U128" s="1"/>
      <c r="V128" s="1"/>
      <c r="W128" s="1"/>
      <c r="X128" s="1"/>
      <c r="Y128" s="1"/>
      <c r="Z128" s="1"/>
    </row>
    <row r="129" ht="6.75" customHeight="1">
      <c r="A129" s="1"/>
      <c r="B129" s="1"/>
      <c r="C129" s="1"/>
      <c r="D129" s="1"/>
      <c r="E129" s="1"/>
      <c r="F129" s="7"/>
      <c r="G129" s="1"/>
      <c r="H129" s="1"/>
      <c r="I129" s="1"/>
      <c r="J129" s="1"/>
      <c r="K129" s="1"/>
      <c r="L129" s="1"/>
      <c r="M129" s="1"/>
      <c r="N129" s="32" t="str">
        <f>IFERROR(__xludf.DUMMYFUNCTION("""COMPUTED_VALUE"""),"R121=22.7% ~ 30.0%")</f>
        <v>R121=22.7% ~ 30.0%</v>
      </c>
      <c r="O129" s="14"/>
      <c r="P129" s="7"/>
      <c r="Q129" s="1"/>
      <c r="R129" s="7"/>
      <c r="S129" s="1"/>
      <c r="T129" s="7"/>
      <c r="U129" s="8" t="str">
        <f>IFERROR(__xludf.DUMMYFUNCTION("""COMPUTED_VALUE"""),"10-43-熱煙或毒性氣體未危害至儲能空間以外")</f>
        <v>10-43-熱煙或毒性氣體未危害至儲能空間以外</v>
      </c>
      <c r="V129" s="10" t="str">
        <f>IFERROR(__xludf.DUMMYFUNCTION("""COMPUTED_VALUE"""),"Impact 64")</f>
        <v>Impact 64</v>
      </c>
      <c r="W129" s="1"/>
      <c r="X129" s="1"/>
      <c r="Y129" s="1"/>
      <c r="Z129" s="1"/>
    </row>
    <row r="130" ht="6.75" customHeight="1">
      <c r="A130" s="1"/>
      <c r="B130" s="1"/>
      <c r="C130" s="1"/>
      <c r="D130" s="1"/>
      <c r="E130" s="1"/>
      <c r="F130" s="7"/>
      <c r="G130" s="1"/>
      <c r="H130" s="1"/>
      <c r="I130" s="1"/>
      <c r="J130" s="1"/>
      <c r="K130" s="1"/>
      <c r="L130" s="1"/>
      <c r="M130" s="1"/>
      <c r="N130" s="1"/>
      <c r="O130" s="1"/>
      <c r="P130" s="7"/>
      <c r="Q130" s="1"/>
      <c r="R130" s="7"/>
      <c r="S130" s="1"/>
      <c r="T130" s="7"/>
      <c r="U130" s="13" t="str">
        <f>IFERROR(__xludf.DUMMYFUNCTION("""COMPUTED_VALUE"""),"R129=45.3% ~ 50.1%")</f>
        <v>R129=45.3% ~ 50.1%</v>
      </c>
      <c r="V130" s="10" t="str">
        <f>IFERROR(__xludf.DUMMYFUNCTION("""COMPUTED_VALUE"""),"P(64)=0.002%")</f>
        <v>P(64)=0.002%</v>
      </c>
      <c r="W130" s="1"/>
      <c r="X130" s="1"/>
      <c r="Y130" s="1"/>
      <c r="Z130" s="1"/>
    </row>
    <row r="131" ht="6.75" customHeight="1">
      <c r="A131" s="1"/>
      <c r="B131" s="1"/>
      <c r="C131" s="1"/>
      <c r="D131" s="1"/>
      <c r="E131" s="1"/>
      <c r="F131" s="7"/>
      <c r="G131" s="1"/>
      <c r="H131" s="1"/>
      <c r="I131" s="1"/>
      <c r="J131" s="1"/>
      <c r="K131" s="1"/>
      <c r="L131" s="1"/>
      <c r="M131" s="1"/>
      <c r="N131" s="1"/>
      <c r="O131" s="1"/>
      <c r="P131" s="7"/>
      <c r="Q131" s="1"/>
      <c r="R131" s="7"/>
      <c r="S131" s="1"/>
      <c r="T131" s="30" t="str">
        <f>IFERROR(__xludf.DUMMYFUNCTION("""COMPUTED_VALUE"""),"9-22-消防系統無法發揮冷卻作用")</f>
        <v>9-22-消防系統無法發揮冷卻作用</v>
      </c>
      <c r="U131" s="26"/>
      <c r="V131" s="1"/>
      <c r="W131" s="1"/>
      <c r="X131" s="1"/>
      <c r="Y131" s="1"/>
      <c r="Z131" s="1"/>
    </row>
    <row r="132" ht="6.75" customHeight="1">
      <c r="A132" s="1"/>
      <c r="B132" s="1"/>
      <c r="C132" s="1"/>
      <c r="D132" s="1"/>
      <c r="E132" s="1"/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30" t="str">
        <f>IFERROR(__xludf.DUMMYFUNCTION("""COMPUTED_VALUE"""),"7-12-發生電池櫃熱失控傳播現象")</f>
        <v>7-12-發生電池櫃熱失控傳播現象</v>
      </c>
      <c r="Q132" s="20"/>
      <c r="R132" s="7"/>
      <c r="S132" s="1"/>
      <c r="T132" s="32" t="str">
        <f>IFERROR(__xludf.DUMMYFUNCTION("""COMPUTED_VALUE"""),"R128=30.1% ~ 36.8%")</f>
        <v>R128=30.1% ~ 36.8%</v>
      </c>
      <c r="U132" s="30" t="str">
        <f>IFERROR(__xludf.DUMMYFUNCTION("""COMPUTED_VALUE"""),"10-44-熱煙或毒性氣體危害至儲能空間以外")</f>
        <v>10-44-熱煙或毒性氣體危害至儲能空間以外</v>
      </c>
      <c r="V132" s="10" t="str">
        <f>IFERROR(__xludf.DUMMYFUNCTION("""COMPUTED_VALUE"""),"Impact 65")</f>
        <v>Impact 65</v>
      </c>
      <c r="W132" s="1"/>
      <c r="X132" s="1"/>
      <c r="Y132" s="1"/>
      <c r="Z132" s="1"/>
    </row>
    <row r="133" ht="6.75" customHeight="1">
      <c r="A133" s="1"/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32" t="str">
        <f>IFERROR(__xludf.DUMMYFUNCTION("""COMPUTED_VALUE"""),"R123=19.2% ~ 26.9%")</f>
        <v>R123=19.2% ~ 26.9%</v>
      </c>
      <c r="Q133" s="14"/>
      <c r="R133" s="7"/>
      <c r="S133" s="1"/>
      <c r="T133" s="1"/>
      <c r="U133" s="32" t="str">
        <f>IFERROR(__xludf.DUMMYFUNCTION("""COMPUTED_VALUE"""),"R130=49.9% ~ 54.7%")</f>
        <v>R130=49.9% ~ 54.7%</v>
      </c>
      <c r="V133" s="10" t="str">
        <f>IFERROR(__xludf.DUMMYFUNCTION("""COMPUTED_VALUE"""),"P(65)=0.002%")</f>
        <v>P(65)=0.002%</v>
      </c>
      <c r="W133" s="1"/>
      <c r="X133" s="1"/>
      <c r="Y133" s="1"/>
      <c r="Z133" s="1"/>
    </row>
    <row r="134" ht="6.75" customHeight="1">
      <c r="A134" s="1"/>
      <c r="B134" s="1"/>
      <c r="C134" s="1"/>
      <c r="D134" s="1"/>
      <c r="E134" s="1"/>
      <c r="F134" s="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7"/>
      <c r="S134" s="1"/>
      <c r="T134" s="1"/>
      <c r="U134" s="1"/>
      <c r="V134" s="1"/>
      <c r="W134" s="1"/>
      <c r="X134" s="1"/>
      <c r="Y134" s="1"/>
      <c r="Z134" s="1"/>
    </row>
    <row r="135" ht="6.75" customHeight="1">
      <c r="A135" s="1"/>
      <c r="B135" s="1"/>
      <c r="C135" s="1"/>
      <c r="D135" s="1"/>
      <c r="E135" s="1"/>
      <c r="F135" s="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7"/>
      <c r="S135" s="1"/>
      <c r="T135" s="1"/>
      <c r="U135" s="8" t="str">
        <f>IFERROR(__xludf.DUMMYFUNCTION("""COMPUTED_VALUE"""),"10-45-熱煙或毒性氣體未危害至儲能空間以外")</f>
        <v>10-45-熱煙或毒性氣體未危害至儲能空間以外</v>
      </c>
      <c r="V135" s="10" t="str">
        <f>IFERROR(__xludf.DUMMYFUNCTION("""COMPUTED_VALUE"""),"Impact 66")</f>
        <v>Impact 66</v>
      </c>
      <c r="W135" s="1"/>
      <c r="X135" s="1"/>
      <c r="Y135" s="1"/>
      <c r="Z135" s="1"/>
    </row>
    <row r="136" ht="6.75" customHeight="1">
      <c r="A136" s="1"/>
      <c r="B136" s="1"/>
      <c r="C136" s="1"/>
      <c r="D136" s="1"/>
      <c r="E136" s="1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7"/>
      <c r="S136" s="1"/>
      <c r="T136" s="8" t="str">
        <f>IFERROR(__xludf.DUMMYFUNCTION("""COMPUTED_VALUE"""),"9-23-消防系統有效發揮冷卻作用")</f>
        <v>9-23-消防系統有效發揮冷卻作用</v>
      </c>
      <c r="U136" s="13" t="str">
        <f>IFERROR(__xludf.DUMMYFUNCTION("""COMPUTED_VALUE"""),"R133=56.6% ~ 62.6%")</f>
        <v>R133=56.6% ~ 62.6%</v>
      </c>
      <c r="V136" s="10" t="str">
        <f>IFERROR(__xludf.DUMMYFUNCTION("""COMPUTED_VALUE"""),"P(66)=0.011%")</f>
        <v>P(66)=0.011%</v>
      </c>
      <c r="W136" s="1"/>
      <c r="X136" s="1"/>
      <c r="Y136" s="1"/>
      <c r="Z136" s="1"/>
    </row>
    <row r="137" ht="6.75" customHeight="1">
      <c r="A137" s="1"/>
      <c r="B137" s="1"/>
      <c r="C137" s="1"/>
      <c r="D137" s="1"/>
      <c r="E137" s="1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"/>
      <c r="S137" s="1"/>
      <c r="T137" s="13" t="str">
        <f>IFERROR(__xludf.DUMMYFUNCTION("""COMPUTED_VALUE"""),"R132=53.7% ~ 59.4%")</f>
        <v>R132=53.7% ~ 59.4%</v>
      </c>
      <c r="U137" s="26"/>
      <c r="V137" s="1"/>
      <c r="W137" s="1"/>
      <c r="X137" s="1"/>
      <c r="Y137" s="1"/>
      <c r="Z137" s="1"/>
    </row>
    <row r="138" ht="6.75" customHeight="1">
      <c r="A138" s="1"/>
      <c r="B138" s="1"/>
      <c r="C138" s="1"/>
      <c r="D138" s="1"/>
      <c r="E138" s="1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7"/>
      <c r="S138" s="24"/>
      <c r="T138" s="1"/>
      <c r="U138" s="30" t="str">
        <f>IFERROR(__xludf.DUMMYFUNCTION("""COMPUTED_VALUE"""),"10-46-熱煙或毒性氣體危害至儲能空間以外")</f>
        <v>10-46-熱煙或毒性氣體危害至儲能空間以外</v>
      </c>
      <c r="V138" s="10" t="str">
        <f>IFERROR(__xludf.DUMMYFUNCTION("""COMPUTED_VALUE"""),"Impact 67")</f>
        <v>Impact 67</v>
      </c>
      <c r="W138" s="1"/>
      <c r="X138" s="1"/>
      <c r="Y138" s="1"/>
      <c r="Z138" s="1"/>
    </row>
    <row r="139" ht="6.75" customHeight="1">
      <c r="A139" s="1"/>
      <c r="B139" s="1"/>
      <c r="C139" s="1"/>
      <c r="D139" s="1"/>
      <c r="E139" s="1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30" t="str">
        <f>IFERROR(__xludf.DUMMYFUNCTION("""COMPUTED_VALUE"""),"8-12-可燃氣體濃度達到LFL")</f>
        <v>8-12-可燃氣體濃度達到LFL</v>
      </c>
      <c r="S139" s="20"/>
      <c r="T139" s="7"/>
      <c r="U139" s="32" t="str">
        <f>IFERROR(__xludf.DUMMYFUNCTION("""COMPUTED_VALUE"""),"R134=37.4% ~ 43.4%")</f>
        <v>R134=37.4% ~ 43.4%</v>
      </c>
      <c r="V139" s="10" t="str">
        <f>IFERROR(__xludf.DUMMYFUNCTION("""COMPUTED_VALUE"""),"P(67)=0.007%")</f>
        <v>P(67)=0.007%</v>
      </c>
      <c r="W139" s="1"/>
      <c r="X139" s="1"/>
      <c r="Y139" s="1"/>
      <c r="Z139" s="1"/>
    </row>
    <row r="140" ht="6.75" customHeight="1">
      <c r="A140" s="1"/>
      <c r="B140" s="1"/>
      <c r="C140" s="1"/>
      <c r="D140" s="1"/>
      <c r="E140" s="1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32" t="str">
        <f>IFERROR(__xludf.DUMMYFUNCTION("""COMPUTED_VALUE"""),"R131=72.8% ~ 75.4%")</f>
        <v>R131=72.8% ~ 75.4%</v>
      </c>
      <c r="S140" s="14"/>
      <c r="T140" s="7"/>
      <c r="U140" s="1"/>
      <c r="V140" s="1"/>
      <c r="W140" s="1"/>
      <c r="X140" s="1"/>
      <c r="Y140" s="1"/>
      <c r="Z140" s="1"/>
    </row>
    <row r="141" ht="6.75" customHeight="1">
      <c r="A141" s="1"/>
      <c r="B141" s="1"/>
      <c r="C141" s="1"/>
      <c r="D141" s="1"/>
      <c r="E141" s="1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7"/>
      <c r="U141" s="8" t="str">
        <f>IFERROR(__xludf.DUMMYFUNCTION("""COMPUTED_VALUE"""),"10-47-熱煙或毒性氣體未危害至儲能空間以外")</f>
        <v>10-47-熱煙或毒性氣體未危害至儲能空間以外</v>
      </c>
      <c r="V141" s="10" t="str">
        <f>IFERROR(__xludf.DUMMYFUNCTION("""COMPUTED_VALUE"""),"Impact 68")</f>
        <v>Impact 68</v>
      </c>
      <c r="W141" s="1"/>
      <c r="X141" s="1"/>
      <c r="Y141" s="1"/>
      <c r="Z141" s="1"/>
    </row>
    <row r="142" ht="6.75" customHeight="1">
      <c r="A142" s="1"/>
      <c r="B142" s="1"/>
      <c r="C142" s="1"/>
      <c r="D142" s="1"/>
      <c r="E142" s="1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7"/>
      <c r="U142" s="13" t="str">
        <f>IFERROR(__xludf.DUMMYFUNCTION("""COMPUTED_VALUE"""),"R136=45.3% ~ 50.1%")</f>
        <v>R136=45.3% ~ 50.1%</v>
      </c>
      <c r="V142" s="10" t="str">
        <f>IFERROR(__xludf.DUMMYFUNCTION("""COMPUTED_VALUE"""),"P(68)=0.007%")</f>
        <v>P(68)=0.007%</v>
      </c>
      <c r="W142" s="1"/>
      <c r="X142" s="1"/>
      <c r="Y142" s="1"/>
      <c r="Z142" s="1"/>
    </row>
    <row r="143" ht="6.75" customHeight="1">
      <c r="A143" s="1"/>
      <c r="B143" s="1"/>
      <c r="C143" s="1"/>
      <c r="D143" s="1"/>
      <c r="E143" s="1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30" t="str">
        <f>IFERROR(__xludf.DUMMYFUNCTION("""COMPUTED_VALUE"""),"9-24-消防系統無法發揮冷卻作用")</f>
        <v>9-24-消防系統無法發揮冷卻作用</v>
      </c>
      <c r="U143" s="26"/>
      <c r="V143" s="1"/>
      <c r="W143" s="1"/>
      <c r="X143" s="1"/>
      <c r="Y143" s="1"/>
      <c r="Z143" s="1"/>
    </row>
    <row r="144" ht="6.75" customHeight="1">
      <c r="A144" s="1"/>
      <c r="B144" s="1"/>
      <c r="C144" s="1"/>
      <c r="D144" s="1"/>
      <c r="E144" s="1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32" t="str">
        <f>IFERROR(__xludf.DUMMYFUNCTION("""COMPUTED_VALUE"""),"R135=40.6% ~ 46.3%")</f>
        <v>R135=40.6% ~ 46.3%</v>
      </c>
      <c r="U144" s="30" t="str">
        <f>IFERROR(__xludf.DUMMYFUNCTION("""COMPUTED_VALUE"""),"10-48-熱煙或毒性氣體危害至儲能空間以外")</f>
        <v>10-48-熱煙或毒性氣體危害至儲能空間以外</v>
      </c>
      <c r="V144" s="10" t="str">
        <f>IFERROR(__xludf.DUMMYFUNCTION("""COMPUTED_VALUE"""),"Impact 69")</f>
        <v>Impact 69</v>
      </c>
      <c r="W144" s="1"/>
      <c r="X144" s="1"/>
      <c r="Y144" s="1"/>
      <c r="Z144" s="1"/>
    </row>
    <row r="145" ht="6.75" customHeight="1">
      <c r="A145" s="1"/>
      <c r="B145" s="1"/>
      <c r="C145" s="1"/>
      <c r="D145" s="1"/>
      <c r="E145" s="1"/>
      <c r="F145" s="7"/>
      <c r="G145" s="1"/>
      <c r="H145" s="8" t="str">
        <f>IFERROR(__xludf.DUMMYFUNCTION("""COMPUTED_VALUE"""),"3-7-電芯未發生熱失控")</f>
        <v>3-7-電芯未發生熱失控</v>
      </c>
      <c r="I145" s="9"/>
      <c r="J145" s="10" t="str">
        <f>IFERROR(__xludf.DUMMYFUNCTION("""COMPUTED_VALUE"""),"Impact 70")</f>
        <v>Impact 70</v>
      </c>
      <c r="K145" s="1"/>
      <c r="L145" s="8" t="str">
        <f>IFERROR(__xludf.DUMMYFUNCTION("""COMPUTED_VALUE"""),"5-13-未發生電芯熱失控傳播現象")</f>
        <v>5-13-未發生電芯熱失控傳播現象</v>
      </c>
      <c r="M145" s="9"/>
      <c r="N145" s="10" t="str">
        <f>IFERROR(__xludf.DUMMYFUNCTION("""COMPUTED_VALUE"""),"Impact 71")</f>
        <v>Impact 71</v>
      </c>
      <c r="O145" s="1"/>
      <c r="P145" s="1"/>
      <c r="Q145" s="1"/>
      <c r="R145" s="1"/>
      <c r="S145" s="1"/>
      <c r="T145" s="1"/>
      <c r="U145" s="32" t="str">
        <f>IFERROR(__xludf.DUMMYFUNCTION("""COMPUTED_VALUE"""),"R137=49.9% ~ 54.7%")</f>
        <v>R137=49.9% ~ 54.7%</v>
      </c>
      <c r="V145" s="10" t="str">
        <f>IFERROR(__xludf.DUMMYFUNCTION("""COMPUTED_VALUE"""),"P(69)=0.007%")</f>
        <v>P(69)=0.007%</v>
      </c>
      <c r="W145" s="1"/>
      <c r="X145" s="1"/>
      <c r="Y145" s="1"/>
      <c r="Z145" s="1"/>
    </row>
    <row r="146" ht="6.75" customHeight="1">
      <c r="A146" s="1"/>
      <c r="B146" s="1"/>
      <c r="C146" s="1"/>
      <c r="D146" s="1"/>
      <c r="E146" s="1"/>
      <c r="F146" s="7"/>
      <c r="G146" s="24"/>
      <c r="H146" s="25" t="str">
        <f>IFERROR(__xludf.DUMMYFUNCTION("""COMPUTED_VALUE"""),"R139=22.6% ~ 24.9%")</f>
        <v>R139=22.6% ~ 24.9%</v>
      </c>
      <c r="I146" s="15"/>
      <c r="J146" s="10" t="str">
        <f>IFERROR(__xludf.DUMMYFUNCTION("""COMPUTED_VALUE"""),"P(70)=5.652%")</f>
        <v>P(70)=5.652%</v>
      </c>
      <c r="K146" s="1"/>
      <c r="L146" s="13" t="str">
        <f>IFERROR(__xludf.DUMMYFUNCTION("""COMPUTED_VALUE"""),"R142=61.1% ~ 67.5%")</f>
        <v>R142=61.1% ~ 67.5%</v>
      </c>
      <c r="M146" s="15"/>
      <c r="N146" s="10" t="str">
        <f>IFERROR(__xludf.DUMMYFUNCTION("""COMPUTED_VALUE"""),"P(71)=2.419%")</f>
        <v>P(71)=2.419%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6.75" customHeight="1">
      <c r="A147" s="1"/>
      <c r="B147" s="1"/>
      <c r="C147" s="1"/>
      <c r="D147" s="1"/>
      <c r="E147" s="1"/>
      <c r="F147" s="7"/>
      <c r="G147" s="24"/>
      <c r="H147" s="1"/>
      <c r="I147" s="1"/>
      <c r="J147" s="8" t="str">
        <f>IFERROR(__xludf.DUMMYFUNCTION("""COMPUTED_VALUE"""),"4-7-通風排出裝置啟動")</f>
        <v>4-7-通風排出裝置啟動</v>
      </c>
      <c r="K147" s="20"/>
      <c r="L147" s="7"/>
      <c r="M147" s="1"/>
      <c r="N147" s="8" t="str">
        <f>IFERROR(__xludf.DUMMYFUNCTION("""COMPUTED_VALUE"""),"6-13-未發生模組熱失控傳播現象")</f>
        <v>6-13-未發生模組熱失控傳播現象</v>
      </c>
      <c r="O147" s="9"/>
      <c r="P147" s="10" t="str">
        <f>IFERROR(__xludf.DUMMYFUNCTION("""COMPUTED_VALUE"""),"Impact 72")</f>
        <v>Impact 72</v>
      </c>
      <c r="Q147" s="1"/>
      <c r="R147" s="1"/>
      <c r="S147" s="1"/>
      <c r="T147" s="1"/>
      <c r="U147" s="8" t="str">
        <f>IFERROR(__xludf.DUMMYFUNCTION("""COMPUTED_VALUE"""),"10-49-熱煙或毒性氣體未危害至儲能空間以外")</f>
        <v>10-49-熱煙或毒性氣體未危害至儲能空間以外</v>
      </c>
      <c r="V147" s="10" t="str">
        <f>IFERROR(__xludf.DUMMYFUNCTION("""COMPUTED_VALUE"""),"Impact 74")</f>
        <v>Impact 74</v>
      </c>
      <c r="W147" s="1"/>
      <c r="X147" s="1"/>
      <c r="Y147" s="1"/>
      <c r="Z147" s="1"/>
    </row>
    <row r="148" ht="6.75" customHeight="1">
      <c r="A148" s="1"/>
      <c r="B148" s="1"/>
      <c r="C148" s="1"/>
      <c r="D148" s="1"/>
      <c r="E148" s="1"/>
      <c r="F148" s="7"/>
      <c r="G148" s="24"/>
      <c r="H148" s="1"/>
      <c r="I148" s="24"/>
      <c r="J148" s="25" t="str">
        <f>IFERROR(__xludf.DUMMYFUNCTION("""COMPUTED_VALUE"""),"R141=19.7% ~ 21.7%")</f>
        <v>R141=19.7% ~ 21.7%</v>
      </c>
      <c r="K148" s="14"/>
      <c r="L148" s="7"/>
      <c r="M148" s="1"/>
      <c r="N148" s="13" t="str">
        <f>IFERROR(__xludf.DUMMYFUNCTION("""COMPUTED_VALUE"""),"R144=70.0% ~ 77.3%")</f>
        <v>R144=70.0% ~ 77.3%</v>
      </c>
      <c r="O148" s="15"/>
      <c r="P148" s="10" t="str">
        <f>IFERROR(__xludf.DUMMYFUNCTION("""COMPUTED_VALUE"""),"P(72)=0.984%")</f>
        <v>P(72)=0.984%</v>
      </c>
      <c r="Q148" s="1"/>
      <c r="R148" s="1"/>
      <c r="S148" s="1"/>
      <c r="T148" s="8" t="str">
        <f>IFERROR(__xludf.DUMMYFUNCTION("""COMPUTED_VALUE"""),"9-25-消防系統有效發揮冷卻作用")</f>
        <v>9-25-消防系統有效發揮冷卻作用</v>
      </c>
      <c r="U148" s="13" t="str">
        <f>IFERROR(__xludf.DUMMYFUNCTION("""COMPUTED_VALUE"""),"R150=56.6% ~ 62.6%")</f>
        <v>R150=56.6% ~ 62.6%</v>
      </c>
      <c r="V148" s="10" t="str">
        <f>IFERROR(__xludf.DUMMYFUNCTION("""COMPUTED_VALUE"""),"P(74)=0.017%")</f>
        <v>P(74)=0.017%</v>
      </c>
      <c r="W148" s="1"/>
      <c r="X148" s="1"/>
      <c r="Y148" s="1"/>
      <c r="Z148" s="1"/>
    </row>
    <row r="149" ht="6.75" customHeight="1">
      <c r="A149" s="1"/>
      <c r="B149" s="1"/>
      <c r="C149" s="1"/>
      <c r="D149" s="1"/>
      <c r="E149" s="1"/>
      <c r="F149" s="7"/>
      <c r="G149" s="24"/>
      <c r="H149" s="1"/>
      <c r="I149" s="24"/>
      <c r="J149" s="1"/>
      <c r="K149" s="24"/>
      <c r="L149" s="30" t="str">
        <f>IFERROR(__xludf.DUMMYFUNCTION("""COMPUTED_VALUE"""),"5-14-發生電芯熱失控傳播現象")</f>
        <v>5-14-發生電芯熱失控傳播現象</v>
      </c>
      <c r="M149" s="20"/>
      <c r="N149" s="7"/>
      <c r="O149" s="1"/>
      <c r="P149" s="8" t="str">
        <f>IFERROR(__xludf.DUMMYFUNCTION("""COMPUTED_VALUE"""),"7-13-未發生電池櫃熱失控傳播現象")</f>
        <v>7-13-未發生電池櫃熱失控傳播現象</v>
      </c>
      <c r="Q149" s="9"/>
      <c r="R149" s="10" t="str">
        <f>IFERROR(__xludf.DUMMYFUNCTION("""COMPUTED_VALUE"""),"Impact 73")</f>
        <v>Impact 73</v>
      </c>
      <c r="S149" s="1"/>
      <c r="T149" s="13" t="str">
        <f>IFERROR(__xludf.DUMMYFUNCTION("""COMPUTED_VALUE"""),"R149=63.2% ~ 69.9%")</f>
        <v>R149=63.2% ~ 69.9%</v>
      </c>
      <c r="U149" s="26"/>
      <c r="V149" s="1"/>
      <c r="W149" s="1"/>
      <c r="X149" s="1"/>
      <c r="Y149" s="1"/>
      <c r="Z149" s="1"/>
    </row>
    <row r="150" ht="6.75" customHeight="1">
      <c r="A150" s="1"/>
      <c r="B150" s="1"/>
      <c r="C150" s="1"/>
      <c r="D150" s="1"/>
      <c r="E150" s="1"/>
      <c r="F150" s="7"/>
      <c r="G150" s="24"/>
      <c r="H150" s="1"/>
      <c r="I150" s="24"/>
      <c r="J150" s="1"/>
      <c r="K150" s="1"/>
      <c r="L150" s="32" t="str">
        <f>IFERROR(__xludf.DUMMYFUNCTION("""COMPUTED_VALUE"""),"R143=32.5% ~ 38.9%")</f>
        <v>R143=32.5% ~ 38.9%</v>
      </c>
      <c r="M150" s="14"/>
      <c r="N150" s="7"/>
      <c r="O150" s="1"/>
      <c r="P150" s="13" t="str">
        <f>IFERROR(__xludf.DUMMYFUNCTION("""COMPUTED_VALUE"""),"R146=73.1% ~ 80.8%")</f>
        <v>R146=73.1% ~ 80.8%</v>
      </c>
      <c r="Q150" s="15"/>
      <c r="R150" s="10" t="str">
        <f>IFERROR(__xludf.DUMMYFUNCTION("""COMPUTED_VALUE"""),"P(73)=0.269%")</f>
        <v>P(73)=0.269%</v>
      </c>
      <c r="S150" s="24"/>
      <c r="T150" s="1"/>
      <c r="U150" s="30" t="str">
        <f>IFERROR(__xludf.DUMMYFUNCTION("""COMPUTED_VALUE"""),"10-50-熱煙或毒性氣體危害至儲能空間以外")</f>
        <v>10-50-熱煙或毒性氣體危害至儲能空間以外</v>
      </c>
      <c r="V150" s="10" t="str">
        <f>IFERROR(__xludf.DUMMYFUNCTION("""COMPUTED_VALUE"""),"Impact 75")</f>
        <v>Impact 75</v>
      </c>
      <c r="W150" s="1"/>
      <c r="X150" s="1"/>
      <c r="Y150" s="1"/>
      <c r="Z150" s="1"/>
    </row>
    <row r="151" ht="6.75" customHeight="1">
      <c r="A151" s="1"/>
      <c r="B151" s="1"/>
      <c r="C151" s="1"/>
      <c r="D151" s="1"/>
      <c r="E151" s="1"/>
      <c r="F151" s="30" t="str">
        <f>IFERROR(__xludf.DUMMYFUNCTION("""COMPUTED_VALUE"""),"2-4-BESS未緊急安全關斷")</f>
        <v>2-4-BESS未緊急安全關斷</v>
      </c>
      <c r="G151" s="20"/>
      <c r="H151" s="1"/>
      <c r="I151" s="24"/>
      <c r="J151" s="1"/>
      <c r="K151" s="1"/>
      <c r="L151" s="1"/>
      <c r="M151" s="24"/>
      <c r="N151" s="1"/>
      <c r="O151" s="1"/>
      <c r="P151" s="7"/>
      <c r="Q151" s="1"/>
      <c r="R151" s="8" t="str">
        <f>IFERROR(__xludf.DUMMYFUNCTION("""COMPUTED_VALUE"""),"8-13-可燃氣體濃度未達到LFL")</f>
        <v>8-13-可燃氣體濃度未達到LFL</v>
      </c>
      <c r="S151" s="20"/>
      <c r="T151" s="7"/>
      <c r="U151" s="32" t="str">
        <f>IFERROR(__xludf.DUMMYFUNCTION("""COMPUTED_VALUE"""),"R151=37.4% ~ 43.4%")</f>
        <v>R151=37.4% ~ 43.4%</v>
      </c>
      <c r="V151" s="10" t="str">
        <f>IFERROR(__xludf.DUMMYFUNCTION("""COMPUTED_VALUE"""),"P(75)=0.011%")</f>
        <v>P(75)=0.011%</v>
      </c>
      <c r="W151" s="1"/>
      <c r="X151" s="1"/>
      <c r="Y151" s="1"/>
      <c r="Z151" s="1"/>
    </row>
    <row r="152" ht="6.75" customHeight="1">
      <c r="A152" s="1"/>
      <c r="B152" s="1"/>
      <c r="C152" s="1"/>
      <c r="D152" s="1"/>
      <c r="E152" s="1"/>
      <c r="F152" s="32" t="str">
        <f>IFERROR(__xludf.DUMMYFUNCTION("""COMPUTED_VALUE"""),"R138=62.4% ~ 66.0%")</f>
        <v>R138=62.4% ~ 66.0%</v>
      </c>
      <c r="G152" s="14"/>
      <c r="H152" s="1"/>
      <c r="I152" s="24"/>
      <c r="J152" s="1"/>
      <c r="K152" s="1"/>
      <c r="L152" s="1"/>
      <c r="M152" s="1"/>
      <c r="N152" s="30" t="str">
        <f>IFERROR(__xludf.DUMMYFUNCTION("""COMPUTED_VALUE"""),"6-14-發生模組熱失控傳播現象")</f>
        <v>6-14-發生模組熱失控傳播現象</v>
      </c>
      <c r="O152" s="20"/>
      <c r="P152" s="7"/>
      <c r="Q152" s="1"/>
      <c r="R152" s="13" t="str">
        <f>IFERROR(__xludf.DUMMYFUNCTION("""COMPUTED_VALUE"""),"R148=49.2% ~ 54.4%")</f>
        <v>R148=49.2% ~ 54.4%</v>
      </c>
      <c r="S152" s="14"/>
      <c r="T152" s="7"/>
      <c r="U152" s="1"/>
      <c r="V152" s="1"/>
      <c r="W152" s="1"/>
      <c r="X152" s="1"/>
      <c r="Y152" s="1"/>
      <c r="Z152" s="1"/>
    </row>
    <row r="153" ht="6.75" customHeight="1">
      <c r="A153" s="1"/>
      <c r="B153" s="1"/>
      <c r="C153" s="1"/>
      <c r="D153" s="1"/>
      <c r="E153" s="1"/>
      <c r="F153" s="1"/>
      <c r="G153" s="24"/>
      <c r="H153" s="1"/>
      <c r="I153" s="24"/>
      <c r="J153" s="1"/>
      <c r="K153" s="1"/>
      <c r="L153" s="1"/>
      <c r="M153" s="1"/>
      <c r="N153" s="32" t="str">
        <f>IFERROR(__xludf.DUMMYFUNCTION("""COMPUTED_VALUE"""),"R145=22.7% ~ 30.0%")</f>
        <v>R145=22.7% ~ 30.0%</v>
      </c>
      <c r="O153" s="14"/>
      <c r="P153" s="7"/>
      <c r="Q153" s="1"/>
      <c r="R153" s="7"/>
      <c r="S153" s="1"/>
      <c r="T153" s="7"/>
      <c r="U153" s="8" t="str">
        <f>IFERROR(__xludf.DUMMYFUNCTION("""COMPUTED_VALUE"""),"10-51-熱煙或毒性氣體未危害至儲能空間以外")</f>
        <v>10-51-熱煙或毒性氣體未危害至儲能空間以外</v>
      </c>
      <c r="V153" s="10" t="str">
        <f>IFERROR(__xludf.DUMMYFUNCTION("""COMPUTED_VALUE"""),"Impact 76")</f>
        <v>Impact 76</v>
      </c>
      <c r="W153" s="1"/>
      <c r="X153" s="1"/>
      <c r="Y153" s="1"/>
      <c r="Z153" s="1"/>
    </row>
    <row r="154" ht="6.75" customHeight="1">
      <c r="A154" s="1"/>
      <c r="B154" s="1"/>
      <c r="C154" s="1"/>
      <c r="D154" s="1"/>
      <c r="E154" s="1"/>
      <c r="F154" s="1"/>
      <c r="G154" s="24"/>
      <c r="H154" s="1"/>
      <c r="I154" s="24"/>
      <c r="J154" s="1"/>
      <c r="K154" s="1"/>
      <c r="L154" s="1"/>
      <c r="M154" s="1"/>
      <c r="N154" s="1"/>
      <c r="O154" s="1"/>
      <c r="P154" s="7"/>
      <c r="Q154" s="1"/>
      <c r="R154" s="7"/>
      <c r="S154" s="1"/>
      <c r="T154" s="7"/>
      <c r="U154" s="13" t="str">
        <f>IFERROR(__xludf.DUMMYFUNCTION("""COMPUTED_VALUE"""),"R153=45.3% ~ 50.1%")</f>
        <v>R153=45.3% ~ 50.1%</v>
      </c>
      <c r="V154" s="10" t="str">
        <f>IFERROR(__xludf.DUMMYFUNCTION("""COMPUTED_VALUE"""),"P(76)=0.007%")</f>
        <v>P(76)=0.007%</v>
      </c>
      <c r="W154" s="1"/>
      <c r="X154" s="1"/>
      <c r="Y154" s="1"/>
      <c r="Z154" s="1"/>
    </row>
    <row r="155" ht="6.75" customHeight="1">
      <c r="A155" s="1"/>
      <c r="B155" s="1"/>
      <c r="C155" s="1"/>
      <c r="D155" s="1"/>
      <c r="E155" s="1"/>
      <c r="F155" s="1"/>
      <c r="G155" s="24"/>
      <c r="H155" s="1"/>
      <c r="I155" s="24"/>
      <c r="J155" s="1"/>
      <c r="K155" s="1"/>
      <c r="L155" s="1"/>
      <c r="M155" s="1"/>
      <c r="N155" s="1"/>
      <c r="O155" s="24"/>
      <c r="P155" s="1"/>
      <c r="Q155" s="1"/>
      <c r="R155" s="7"/>
      <c r="S155" s="1"/>
      <c r="T155" s="30" t="str">
        <f>IFERROR(__xludf.DUMMYFUNCTION("""COMPUTED_VALUE"""),"9-26-消防系統無法發揮冷卻作用")</f>
        <v>9-26-消防系統無法發揮冷卻作用</v>
      </c>
      <c r="U155" s="26"/>
      <c r="V155" s="1"/>
      <c r="W155" s="1"/>
      <c r="X155" s="1"/>
      <c r="Y155" s="1"/>
      <c r="Z155" s="1"/>
    </row>
    <row r="156" ht="6.75" customHeight="1">
      <c r="A156" s="1"/>
      <c r="B156" s="1"/>
      <c r="C156" s="1"/>
      <c r="D156" s="1"/>
      <c r="E156" s="1"/>
      <c r="F156" s="1"/>
      <c r="G156" s="24"/>
      <c r="H156" s="1"/>
      <c r="I156" s="24"/>
      <c r="J156" s="1"/>
      <c r="K156" s="1"/>
      <c r="L156" s="1"/>
      <c r="M156" s="1"/>
      <c r="N156" s="1"/>
      <c r="O156" s="24"/>
      <c r="P156" s="1"/>
      <c r="Q156" s="1"/>
      <c r="R156" s="7"/>
      <c r="S156" s="1"/>
      <c r="T156" s="32" t="str">
        <f>IFERROR(__xludf.DUMMYFUNCTION("""COMPUTED_VALUE"""),"R152=30.1% ~ 36.8%")</f>
        <v>R152=30.1% ~ 36.8%</v>
      </c>
      <c r="U156" s="30" t="str">
        <f>IFERROR(__xludf.DUMMYFUNCTION("""COMPUTED_VALUE"""),"10-52-熱煙或毒性氣體危害至儲能空間以外")</f>
        <v>10-52-熱煙或毒性氣體危害至儲能空間以外</v>
      </c>
      <c r="V156" s="10" t="str">
        <f>IFERROR(__xludf.DUMMYFUNCTION("""COMPUTED_VALUE"""),"Impact 77")</f>
        <v>Impact 77</v>
      </c>
      <c r="W156" s="1"/>
      <c r="X156" s="1"/>
      <c r="Y156" s="1"/>
      <c r="Z156" s="1"/>
    </row>
    <row r="157" ht="6.75" customHeight="1">
      <c r="A157" s="1"/>
      <c r="B157" s="1"/>
      <c r="C157" s="1"/>
      <c r="D157" s="1"/>
      <c r="E157" s="1"/>
      <c r="F157" s="1"/>
      <c r="G157" s="24"/>
      <c r="H157" s="1"/>
      <c r="I157" s="24"/>
      <c r="J157" s="1"/>
      <c r="K157" s="1"/>
      <c r="L157" s="1"/>
      <c r="M157" s="1"/>
      <c r="N157" s="1"/>
      <c r="O157" s="1"/>
      <c r="P157" s="30" t="str">
        <f>IFERROR(__xludf.DUMMYFUNCTION("""COMPUTED_VALUE"""),"7-14-發生電池櫃熱失控傳播現象")</f>
        <v>7-14-發生電池櫃熱失控傳播現象</v>
      </c>
      <c r="Q157" s="20"/>
      <c r="R157" s="7"/>
      <c r="S157" s="1"/>
      <c r="T157" s="1"/>
      <c r="U157" s="32" t="str">
        <f>IFERROR(__xludf.DUMMYFUNCTION("""COMPUTED_VALUE"""),"R154=49.9% ~ 54.7%")</f>
        <v>R154=49.9% ~ 54.7%</v>
      </c>
      <c r="V157" s="10" t="str">
        <f>IFERROR(__xludf.DUMMYFUNCTION("""COMPUTED_VALUE"""),"P(77)=0.007%")</f>
        <v>P(77)=0.007%</v>
      </c>
      <c r="W157" s="1"/>
      <c r="X157" s="1"/>
      <c r="Y157" s="1"/>
      <c r="Z157" s="1"/>
    </row>
    <row r="158" ht="6.75" customHeight="1">
      <c r="A158" s="1"/>
      <c r="B158" s="1"/>
      <c r="C158" s="1"/>
      <c r="D158" s="1"/>
      <c r="E158" s="1"/>
      <c r="F158" s="1"/>
      <c r="G158" s="24"/>
      <c r="H158" s="43" t="str">
        <f>IFERROR(__xludf.DUMMYFUNCTION("""COMPUTED_VALUE"""),"3-8-電芯發生熱失控")</f>
        <v>3-8-電芯發生熱失控</v>
      </c>
      <c r="I158" s="20"/>
      <c r="J158" s="1"/>
      <c r="K158" s="1"/>
      <c r="L158" s="1"/>
      <c r="M158" s="1"/>
      <c r="N158" s="1"/>
      <c r="O158" s="1"/>
      <c r="P158" s="32" t="str">
        <f>IFERROR(__xludf.DUMMYFUNCTION("""COMPUTED_VALUE"""),"R147=19.2% ~ 26.9%")</f>
        <v>R147=19.2% ~ 26.9%</v>
      </c>
      <c r="Q158" s="14"/>
      <c r="R158" s="7"/>
      <c r="S158" s="1"/>
      <c r="T158" s="1"/>
      <c r="U158" s="1"/>
      <c r="V158" s="1"/>
      <c r="W158" s="1"/>
      <c r="X158" s="1"/>
      <c r="Y158" s="1"/>
      <c r="Z158" s="1"/>
    </row>
    <row r="159" ht="6.75" customHeight="1">
      <c r="A159" s="1"/>
      <c r="B159" s="1"/>
      <c r="C159" s="1"/>
      <c r="D159" s="1"/>
      <c r="E159" s="1"/>
      <c r="F159" s="1"/>
      <c r="G159" s="1"/>
      <c r="H159" s="32" t="str">
        <f>IFERROR(__xludf.DUMMYFUNCTION("""COMPUTED_VALUE"""),"R140=62.4% ~ 66.0%")</f>
        <v>R140=62.4% ~ 66.0%</v>
      </c>
      <c r="I159" s="14"/>
      <c r="J159" s="1"/>
      <c r="K159" s="1"/>
      <c r="L159" s="1"/>
      <c r="M159" s="1"/>
      <c r="N159" s="1"/>
      <c r="O159" s="1"/>
      <c r="P159" s="1"/>
      <c r="Q159" s="1"/>
      <c r="R159" s="7"/>
      <c r="S159" s="1"/>
      <c r="T159" s="1"/>
      <c r="U159" s="8" t="str">
        <f>IFERROR(__xludf.DUMMYFUNCTION("""COMPUTED_VALUE"""),"10-53-熱煙或毒性氣體未危害至儲能空間以外")</f>
        <v>10-53-熱煙或毒性氣體未危害至儲能空間以外</v>
      </c>
      <c r="V159" s="10" t="str">
        <f>IFERROR(__xludf.DUMMYFUNCTION("""COMPUTED_VALUE"""),"Impact 78")</f>
        <v>Impact 78</v>
      </c>
      <c r="W159" s="1"/>
      <c r="X159" s="1"/>
      <c r="Y159" s="1"/>
      <c r="Z159" s="1"/>
    </row>
    <row r="160" ht="6.75" customHeight="1">
      <c r="A160" s="1"/>
      <c r="B160" s="1"/>
      <c r="C160" s="1"/>
      <c r="D160" s="1"/>
      <c r="E160" s="1"/>
      <c r="F160" s="1"/>
      <c r="G160" s="1"/>
      <c r="H160" s="1"/>
      <c r="I160" s="24"/>
      <c r="J160" s="1"/>
      <c r="K160" s="1"/>
      <c r="L160" s="1"/>
      <c r="M160" s="1"/>
      <c r="N160" s="1"/>
      <c r="O160" s="1"/>
      <c r="P160" s="1"/>
      <c r="Q160" s="1"/>
      <c r="R160" s="7"/>
      <c r="S160" s="1"/>
      <c r="T160" s="8" t="str">
        <f>IFERROR(__xludf.DUMMYFUNCTION("""COMPUTED_VALUE"""),"9-27-消防系統有效發揮冷卻作用")</f>
        <v>9-27-消防系統有效發揮冷卻作用</v>
      </c>
      <c r="U160" s="13" t="str">
        <f>IFERROR(__xludf.DUMMYFUNCTION("""COMPUTED_VALUE"""),"R157=56.6% ~ 62.6%")</f>
        <v>R157=56.6% ~ 62.6%</v>
      </c>
      <c r="V160" s="10" t="str">
        <f>IFERROR(__xludf.DUMMYFUNCTION("""COMPUTED_VALUE"""),"P(78)=0.013%")</f>
        <v>P(78)=0.013%</v>
      </c>
      <c r="W160" s="1"/>
      <c r="X160" s="1"/>
      <c r="Y160" s="1"/>
      <c r="Z160" s="1"/>
    </row>
    <row r="161" ht="6.75" customHeight="1">
      <c r="A161" s="1"/>
      <c r="B161" s="1"/>
      <c r="C161" s="1"/>
      <c r="D161" s="1"/>
      <c r="E161" s="1"/>
      <c r="F161" s="1"/>
      <c r="G161" s="1"/>
      <c r="H161" s="1"/>
      <c r="I161" s="24"/>
      <c r="J161" s="1"/>
      <c r="K161" s="1"/>
      <c r="L161" s="1"/>
      <c r="M161" s="1"/>
      <c r="N161" s="1"/>
      <c r="O161" s="1"/>
      <c r="P161" s="1"/>
      <c r="Q161" s="1"/>
      <c r="R161" s="7"/>
      <c r="S161" s="1"/>
      <c r="T161" s="13" t="str">
        <f>IFERROR(__xludf.DUMMYFUNCTION("""COMPUTED_VALUE"""),"R156=53.7% ~ 59.4%")</f>
        <v>R156=53.7% ~ 59.4%</v>
      </c>
      <c r="U161" s="26"/>
      <c r="V161" s="1"/>
      <c r="W161" s="1"/>
      <c r="X161" s="1"/>
      <c r="Y161" s="1"/>
      <c r="Z161" s="1"/>
    </row>
    <row r="162" ht="6.75" customHeight="1">
      <c r="A162" s="1"/>
      <c r="B162" s="1"/>
      <c r="C162" s="1"/>
      <c r="D162" s="1"/>
      <c r="E162" s="1"/>
      <c r="F162" s="1"/>
      <c r="G162" s="1"/>
      <c r="H162" s="1"/>
      <c r="I162" s="24"/>
      <c r="J162" s="1"/>
      <c r="K162" s="1"/>
      <c r="L162" s="1"/>
      <c r="M162" s="1"/>
      <c r="N162" s="1"/>
      <c r="O162" s="1"/>
      <c r="P162" s="1"/>
      <c r="Q162" s="24"/>
      <c r="R162" s="1"/>
      <c r="S162" s="24"/>
      <c r="T162" s="1"/>
      <c r="U162" s="30" t="str">
        <f>IFERROR(__xludf.DUMMYFUNCTION("""COMPUTED_VALUE"""),"10-54-熱煙或毒性氣體危害至儲能空間以外")</f>
        <v>10-54-熱煙或毒性氣體危害至儲能空間以外</v>
      </c>
      <c r="V162" s="10" t="str">
        <f>IFERROR(__xludf.DUMMYFUNCTION("""COMPUTED_VALUE"""),"Impact 79")</f>
        <v>Impact 79</v>
      </c>
      <c r="W162" s="1"/>
      <c r="X162" s="1"/>
      <c r="Y162" s="1"/>
      <c r="Z162" s="1"/>
    </row>
    <row r="163" ht="6.75" customHeight="1">
      <c r="A163" s="1"/>
      <c r="B163" s="1"/>
      <c r="C163" s="1"/>
      <c r="D163" s="1"/>
      <c r="E163" s="1"/>
      <c r="F163" s="1"/>
      <c r="G163" s="1"/>
      <c r="H163" s="1"/>
      <c r="I163" s="24"/>
      <c r="J163" s="1"/>
      <c r="K163" s="1"/>
      <c r="L163" s="1"/>
      <c r="M163" s="1"/>
      <c r="N163" s="1"/>
      <c r="O163" s="1"/>
      <c r="P163" s="1"/>
      <c r="Q163" s="1"/>
      <c r="R163" s="30" t="str">
        <f>IFERROR(__xludf.DUMMYFUNCTION("""COMPUTED_VALUE"""),"8-14-可燃氣體濃度達到LFL")</f>
        <v>8-14-可燃氣體濃度達到LFL</v>
      </c>
      <c r="S163" s="20"/>
      <c r="T163" s="7"/>
      <c r="U163" s="32" t="str">
        <f>IFERROR(__xludf.DUMMYFUNCTION("""COMPUTED_VALUE"""),"R158=37.4% ~ 43.4%")</f>
        <v>R158=37.4% ~ 43.4%</v>
      </c>
      <c r="V163" s="10" t="str">
        <f>IFERROR(__xludf.DUMMYFUNCTION("""COMPUTED_VALUE"""),"P(79)=0.009%")</f>
        <v>P(79)=0.009%</v>
      </c>
      <c r="W163" s="1"/>
      <c r="X163" s="1"/>
      <c r="Y163" s="1"/>
      <c r="Z163" s="1"/>
    </row>
    <row r="164" ht="6.75" customHeight="1">
      <c r="A164" s="1"/>
      <c r="B164" s="1"/>
      <c r="C164" s="1"/>
      <c r="D164" s="1"/>
      <c r="E164" s="1"/>
      <c r="F164" s="1"/>
      <c r="G164" s="1"/>
      <c r="H164" s="1"/>
      <c r="I164" s="24"/>
      <c r="J164" s="1"/>
      <c r="K164" s="1"/>
      <c r="L164" s="1"/>
      <c r="M164" s="1"/>
      <c r="N164" s="1"/>
      <c r="O164" s="1"/>
      <c r="P164" s="1"/>
      <c r="Q164" s="1"/>
      <c r="R164" s="32" t="str">
        <f>IFERROR(__xludf.DUMMYFUNCTION("""COMPUTED_VALUE"""),"R155=45.6% ~ 50.8%")</f>
        <v>R155=45.6% ~ 50.8%</v>
      </c>
      <c r="S164" s="14"/>
      <c r="T164" s="7"/>
      <c r="U164" s="1"/>
      <c r="V164" s="1"/>
      <c r="W164" s="1"/>
      <c r="X164" s="1"/>
      <c r="Y164" s="1"/>
      <c r="Z164" s="1"/>
    </row>
    <row r="165" ht="6.75" customHeight="1">
      <c r="A165" s="1"/>
      <c r="B165" s="1"/>
      <c r="C165" s="1"/>
      <c r="D165" s="1"/>
      <c r="E165" s="1"/>
      <c r="F165" s="1"/>
      <c r="G165" s="1"/>
      <c r="H165" s="1"/>
      <c r="I165" s="2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7"/>
      <c r="U165" s="8" t="str">
        <f>IFERROR(__xludf.DUMMYFUNCTION("""COMPUTED_VALUE"""),"10-55-熱煙或毒性氣體未危害至儲能空間以外")</f>
        <v>10-55-熱煙或毒性氣體未危害至儲能空間以外</v>
      </c>
      <c r="V165" s="10" t="str">
        <f>IFERROR(__xludf.DUMMYFUNCTION("""COMPUTED_VALUE"""),"Impact 80")</f>
        <v>Impact 80</v>
      </c>
      <c r="W165" s="1"/>
      <c r="X165" s="1"/>
      <c r="Y165" s="1"/>
      <c r="Z165" s="1"/>
    </row>
    <row r="166" ht="6.75" customHeight="1">
      <c r="A166" s="1"/>
      <c r="B166" s="1"/>
      <c r="C166" s="1"/>
      <c r="D166" s="1"/>
      <c r="E166" s="1"/>
      <c r="F166" s="1"/>
      <c r="G166" s="1"/>
      <c r="H166" s="1"/>
      <c r="I166" s="2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7"/>
      <c r="U166" s="13" t="str">
        <f>IFERROR(__xludf.DUMMYFUNCTION("""COMPUTED_VALUE"""),"R160=45.3% ~ 50.1%")</f>
        <v>R160=45.3% ~ 50.1%</v>
      </c>
      <c r="V166" s="10" t="str">
        <f>IFERROR(__xludf.DUMMYFUNCTION("""COMPUTED_VALUE"""),"P(80)=0.008%")</f>
        <v>P(80)=0.008%</v>
      </c>
      <c r="W166" s="1"/>
      <c r="X166" s="1"/>
      <c r="Y166" s="1"/>
      <c r="Z166" s="1"/>
    </row>
    <row r="167" ht="6.75" customHeight="1">
      <c r="A167" s="1"/>
      <c r="B167" s="1"/>
      <c r="C167" s="1"/>
      <c r="D167" s="1"/>
      <c r="E167" s="1"/>
      <c r="F167" s="1"/>
      <c r="G167" s="1"/>
      <c r="H167" s="1"/>
      <c r="I167" s="2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30" t="str">
        <f>IFERROR(__xludf.DUMMYFUNCTION("""COMPUTED_VALUE"""),"9-28消防系統無法發揮冷卻作用")</f>
        <v>9-28消防系統無法發揮冷卻作用</v>
      </c>
      <c r="U167" s="26"/>
      <c r="V167" s="1"/>
      <c r="W167" s="1"/>
      <c r="X167" s="1"/>
      <c r="Y167" s="1"/>
      <c r="Z167" s="1"/>
    </row>
    <row r="168" ht="6.75" customHeight="1">
      <c r="A168" s="1"/>
      <c r="B168" s="1"/>
      <c r="C168" s="1"/>
      <c r="D168" s="1"/>
      <c r="E168" s="1"/>
      <c r="F168" s="1"/>
      <c r="G168" s="1"/>
      <c r="H168" s="1"/>
      <c r="I168" s="2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32" t="str">
        <f>IFERROR(__xludf.DUMMYFUNCTION("""COMPUTED_VALUE"""),"R159=40.6% ~ 46.3%")</f>
        <v>R159=40.6% ~ 46.3%</v>
      </c>
      <c r="U168" s="30" t="str">
        <f>IFERROR(__xludf.DUMMYFUNCTION("""COMPUTED_VALUE"""),"10-56-熱煙或毒性氣體危害至儲能空間以外")</f>
        <v>10-56-熱煙或毒性氣體危害至儲能空間以外</v>
      </c>
      <c r="V168" s="10" t="str">
        <f>IFERROR(__xludf.DUMMYFUNCTION("""COMPUTED_VALUE"""),"Impact 81")</f>
        <v>Impact 81</v>
      </c>
      <c r="W168" s="1"/>
      <c r="X168" s="1"/>
      <c r="Y168" s="1"/>
      <c r="Z168" s="1"/>
    </row>
    <row r="169" ht="6.75" customHeight="1">
      <c r="A169" s="1"/>
      <c r="B169" s="1"/>
      <c r="C169" s="1"/>
      <c r="D169" s="1"/>
      <c r="E169" s="1"/>
      <c r="F169" s="1"/>
      <c r="G169" s="1"/>
      <c r="H169" s="1"/>
      <c r="I169" s="24"/>
      <c r="J169" s="1"/>
      <c r="K169" s="1"/>
      <c r="L169" s="8" t="str">
        <f>IFERROR(__xludf.DUMMYFUNCTION("""COMPUTED_VALUE"""),"5-15-未發生電芯熱失控傳播現象")</f>
        <v>5-15-未發生電芯熱失控傳播現象</v>
      </c>
      <c r="M169" s="9"/>
      <c r="N169" s="10" t="str">
        <f>IFERROR(__xludf.DUMMYFUNCTION("""COMPUTED_VALUE"""),"Impact 82")</f>
        <v>Impact 82</v>
      </c>
      <c r="O169" s="1"/>
      <c r="P169" s="1"/>
      <c r="Q169" s="1"/>
      <c r="R169" s="1"/>
      <c r="S169" s="1"/>
      <c r="T169" s="1"/>
      <c r="U169" s="32" t="str">
        <f>IFERROR(__xludf.DUMMYFUNCTION("""COMPUTED_VALUE"""),"R161=49.9% ~ 54.7%")</f>
        <v>R161=49.9% ~ 54.7%</v>
      </c>
      <c r="V169" s="10" t="str">
        <f>IFERROR(__xludf.DUMMYFUNCTION("""COMPUTED_VALUE"""),"P(81)=0.009%")</f>
        <v>P(81)=0.009%</v>
      </c>
      <c r="W169" s="1"/>
      <c r="X169" s="1"/>
      <c r="Y169" s="1"/>
      <c r="Z169" s="1"/>
    </row>
    <row r="170" ht="6.75" customHeight="1">
      <c r="A170" s="1"/>
      <c r="B170" s="1"/>
      <c r="C170" s="1"/>
      <c r="D170" s="1"/>
      <c r="E170" s="1"/>
      <c r="F170" s="1"/>
      <c r="G170" s="1"/>
      <c r="H170" s="1"/>
      <c r="I170" s="24"/>
      <c r="J170" s="1"/>
      <c r="K170" s="1"/>
      <c r="L170" s="13" t="str">
        <f>IFERROR(__xludf.DUMMYFUNCTION("""COMPUTED_VALUE"""),"R163=61.1% ~ 67.5%")</f>
        <v>R163=61.1% ~ 67.5%</v>
      </c>
      <c r="M170" s="15"/>
      <c r="N170" s="10" t="str">
        <f>IFERROR(__xludf.DUMMYFUNCTION("""COMPUTED_VALUE"""),"P(82)=9.281%")</f>
        <v>P(82)=9.281%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6.75" customHeight="1">
      <c r="A171" s="1"/>
      <c r="B171" s="1"/>
      <c r="C171" s="1"/>
      <c r="D171" s="1"/>
      <c r="E171" s="1"/>
      <c r="F171" s="1"/>
      <c r="G171" s="1"/>
      <c r="H171" s="1"/>
      <c r="I171" s="24"/>
      <c r="J171" s="43" t="str">
        <f>IFERROR(__xludf.DUMMYFUNCTION("""COMPUTED_VALUE"""),"4-8-通風排出裝置未啟動")</f>
        <v>4-8-通風排出裝置未啟動</v>
      </c>
      <c r="K171" s="20"/>
      <c r="L171" s="7"/>
      <c r="M171" s="1"/>
      <c r="N171" s="8" t="str">
        <f>IFERROR(__xludf.DUMMYFUNCTION("""COMPUTED_VALUE"""),"6-15-未發生模組熱失控傳播現象")</f>
        <v>6-15-未發生模組熱失控傳播現象</v>
      </c>
      <c r="O171" s="9"/>
      <c r="P171" s="10" t="str">
        <f>IFERROR(__xludf.DUMMYFUNCTION("""COMPUTED_VALUE"""),"Impact 83")</f>
        <v>Impact 83</v>
      </c>
      <c r="Q171" s="1"/>
      <c r="R171" s="1"/>
      <c r="S171" s="1"/>
      <c r="T171" s="1"/>
      <c r="U171" s="8" t="str">
        <f>IFERROR(__xludf.DUMMYFUNCTION("""COMPUTED_VALUE"""),"10-57-熱煙或毒性氣體未危害至儲能空間以外")</f>
        <v>10-57-熱煙或毒性氣體未危害至儲能空間以外</v>
      </c>
      <c r="V171" s="10" t="str">
        <f>IFERROR(__xludf.DUMMYFUNCTION("""COMPUTED_VALUE"""),"Impact 85")</f>
        <v>Impact 85</v>
      </c>
      <c r="W171" s="1"/>
      <c r="X171" s="1"/>
      <c r="Y171" s="1"/>
      <c r="Z171" s="1"/>
    </row>
    <row r="172" ht="6.75" customHeight="1">
      <c r="A172" s="1"/>
      <c r="B172" s="1"/>
      <c r="C172" s="1"/>
      <c r="D172" s="1"/>
      <c r="E172" s="1"/>
      <c r="F172" s="1"/>
      <c r="G172" s="1"/>
      <c r="H172" s="1"/>
      <c r="I172" s="1"/>
      <c r="J172" s="32" t="str">
        <f>IFERROR(__xludf.DUMMYFUNCTION("""COMPUTED_VALUE"""),"R162=78.3% ~ 80.3%")</f>
        <v>R162=78.3% ~ 80.3%</v>
      </c>
      <c r="K172" s="14"/>
      <c r="L172" s="7"/>
      <c r="M172" s="1"/>
      <c r="N172" s="13" t="str">
        <f>IFERROR(__xludf.DUMMYFUNCTION("""COMPUTED_VALUE"""),"R165=70.0% ~ 77.3%")</f>
        <v>R165=70.0% ~ 77.3%</v>
      </c>
      <c r="O172" s="15"/>
      <c r="P172" s="10" t="str">
        <f>IFERROR(__xludf.DUMMYFUNCTION("""COMPUTED_VALUE"""),"P(83)=3.804%")</f>
        <v>P(83)=3.804%</v>
      </c>
      <c r="Q172" s="1"/>
      <c r="R172" s="1"/>
      <c r="S172" s="1"/>
      <c r="T172" s="8" t="str">
        <f>IFERROR(__xludf.DUMMYFUNCTION("""COMPUTED_VALUE"""),"9-29-消防系統有效發揮冷卻作用")</f>
        <v>9-29-消防系統有效發揮冷卻作用</v>
      </c>
      <c r="U172" s="13" t="str">
        <f>IFERROR(__xludf.DUMMYFUNCTION("""COMPUTED_VALUE"""),"R171=56.6% ~ 62.6%")</f>
        <v>R171=56.6% ~ 62.6%</v>
      </c>
      <c r="V172" s="10" t="str">
        <f>IFERROR(__xludf.DUMMYFUNCTION("""COMPUTED_VALUE"""),"P(85)=0.063%")</f>
        <v>P(85)=0.063%</v>
      </c>
      <c r="W172" s="1"/>
      <c r="X172" s="1"/>
      <c r="Y172" s="1"/>
      <c r="Z172" s="1"/>
    </row>
    <row r="173" ht="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4"/>
      <c r="L173" s="30" t="str">
        <f>IFERROR(__xludf.DUMMYFUNCTION("""COMPUTED_VALUE"""),"5-16-發生電芯熱失控傳播現象")</f>
        <v>5-16-發生電芯熱失控傳播現象</v>
      </c>
      <c r="M173" s="20"/>
      <c r="N173" s="7"/>
      <c r="O173" s="1"/>
      <c r="P173" s="8" t="str">
        <f>IFERROR(__xludf.DUMMYFUNCTION("""COMPUTED_VALUE"""),"7-15-未發生電池櫃熱失控傳播現象")</f>
        <v>7-15-未發生電池櫃熱失控傳播現象</v>
      </c>
      <c r="Q173" s="9"/>
      <c r="R173" s="10" t="str">
        <f>IFERROR(__xludf.DUMMYFUNCTION("""COMPUTED_VALUE"""),"Impact 84")</f>
        <v>Impact 84</v>
      </c>
      <c r="S173" s="1"/>
      <c r="T173" s="13" t="str">
        <f>IFERROR(__xludf.DUMMYFUNCTION("""COMPUTED_VALUE"""),"R170=63.2% ~ 69.9%")</f>
        <v>R170=63.2% ~ 69.9%</v>
      </c>
      <c r="U173" s="26"/>
      <c r="V173" s="1"/>
      <c r="W173" s="1"/>
      <c r="X173" s="1"/>
      <c r="Y173" s="1"/>
      <c r="Z173" s="1"/>
    </row>
    <row r="174" ht="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32" t="str">
        <f>IFERROR(__xludf.DUMMYFUNCTION("""COMPUTED_VALUE"""),"R164=32.5% ~ 38.9%")</f>
        <v>R164=32.5% ~ 38.9%</v>
      </c>
      <c r="M174" s="14"/>
      <c r="N174" s="7"/>
      <c r="O174" s="1"/>
      <c r="P174" s="13" t="str">
        <f>IFERROR(__xludf.DUMMYFUNCTION("""COMPUTED_VALUE"""),"R167=73.1% ~ 80.8%")</f>
        <v>R167=73.1% ~ 80.8%</v>
      </c>
      <c r="Q174" s="15"/>
      <c r="R174" s="10" t="str">
        <f>IFERROR(__xludf.DUMMYFUNCTION("""COMPUTED_VALUE"""),"P(84)=1.034%")</f>
        <v>P(84)=1.034%</v>
      </c>
      <c r="S174" s="24"/>
      <c r="T174" s="1"/>
      <c r="U174" s="30" t="str">
        <f>IFERROR(__xludf.DUMMYFUNCTION("""COMPUTED_VALUE"""),"10-58-熱煙或毒性氣體危害至儲能空間以外")</f>
        <v>10-58-熱煙或毒性氣體危害至儲能空間以外</v>
      </c>
      <c r="V174" s="10" t="str">
        <f>IFERROR(__xludf.DUMMYFUNCTION("""COMPUTED_VALUE"""),"Impact 86")</f>
        <v>Impact 86</v>
      </c>
      <c r="W174" s="1"/>
      <c r="X174" s="1"/>
      <c r="Y174" s="1"/>
      <c r="Z174" s="1"/>
    </row>
    <row r="175" ht="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4"/>
      <c r="N175" s="1"/>
      <c r="O175" s="1"/>
      <c r="P175" s="7"/>
      <c r="Q175" s="1"/>
      <c r="R175" s="8" t="str">
        <f>IFERROR(__xludf.DUMMYFUNCTION("""COMPUTED_VALUE"""),"8-15-可燃氣體濃度未達到LFL")</f>
        <v>8-15-可燃氣體濃度未達到LFL</v>
      </c>
      <c r="S175" s="20"/>
      <c r="T175" s="7"/>
      <c r="U175" s="32" t="str">
        <f>IFERROR(__xludf.DUMMYFUNCTION("""COMPUTED_VALUE"""),"R172=37.4% ~ 43.4%")</f>
        <v>R172=37.4% ~ 43.4%</v>
      </c>
      <c r="V175" s="10" t="str">
        <f>IFERROR(__xludf.DUMMYFUNCTION("""COMPUTED_VALUE"""),"P(86)=0.043%")</f>
        <v>P(86)=0.043%</v>
      </c>
      <c r="W175" s="1"/>
      <c r="X175" s="1"/>
      <c r="Y175" s="1"/>
      <c r="Z175" s="1"/>
    </row>
    <row r="176" ht="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0" t="str">
        <f>IFERROR(__xludf.DUMMYFUNCTION("""COMPUTED_VALUE"""),"6-16-發生模組熱失控傳播現象")</f>
        <v>6-16-發生模組熱失控傳播現象</v>
      </c>
      <c r="O176" s="20"/>
      <c r="P176" s="7"/>
      <c r="Q176" s="1"/>
      <c r="R176" s="13" t="str">
        <f>IFERROR(__xludf.DUMMYFUNCTION("""COMPUTED_VALUE"""),"R169=24.6% ~ 27.2%")</f>
        <v>R169=24.6% ~ 27.2%</v>
      </c>
      <c r="S176" s="14"/>
      <c r="T176" s="7"/>
      <c r="U176" s="1"/>
      <c r="V176" s="1"/>
      <c r="W176" s="1"/>
      <c r="X176" s="1"/>
      <c r="Y176" s="1"/>
      <c r="Z176" s="1"/>
    </row>
    <row r="177" ht="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2" t="str">
        <f>IFERROR(__xludf.DUMMYFUNCTION("""COMPUTED_VALUE"""),"R166=22.7% ~ 30.0%")</f>
        <v>R166=22.7% ~ 30.0%</v>
      </c>
      <c r="O177" s="14"/>
      <c r="P177" s="7"/>
      <c r="Q177" s="1"/>
      <c r="R177" s="7"/>
      <c r="S177" s="1"/>
      <c r="T177" s="7"/>
      <c r="U177" s="8" t="str">
        <f>IFERROR(__xludf.DUMMYFUNCTION("""COMPUTED_VALUE"""),"10-59-熱煙或毒性氣體未危害至儲能空間以外")</f>
        <v>10-59-熱煙或毒性氣體未危害至儲能空間以外</v>
      </c>
      <c r="V177" s="10" t="str">
        <f>IFERROR(__xludf.DUMMYFUNCTION("""COMPUTED_VALUE"""),"Impact 87")</f>
        <v>Impact 87</v>
      </c>
      <c r="W177" s="1"/>
      <c r="X177" s="1"/>
      <c r="Y177" s="1"/>
      <c r="Z177" s="1"/>
    </row>
    <row r="178" ht="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7"/>
      <c r="Q178" s="1"/>
      <c r="R178" s="7"/>
      <c r="S178" s="1"/>
      <c r="T178" s="7"/>
      <c r="U178" s="13" t="str">
        <f>IFERROR(__xludf.DUMMYFUNCTION("""COMPUTED_VALUE"""),"R174=45.3% ~ 50.1%")</f>
        <v>R174=45.3% ~ 50.1%</v>
      </c>
      <c r="V178" s="10" t="str">
        <f>IFERROR(__xludf.DUMMYFUNCTION("""COMPUTED_VALUE"""),"P(87)=0.025%")</f>
        <v>P(87)=0.025%</v>
      </c>
      <c r="W178" s="1"/>
      <c r="X178" s="1"/>
      <c r="Y178" s="1"/>
      <c r="Z178" s="1"/>
    </row>
    <row r="179" ht="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7"/>
      <c r="Q179" s="1"/>
      <c r="R179" s="7"/>
      <c r="S179" s="1"/>
      <c r="T179" s="30" t="str">
        <f>IFERROR(__xludf.DUMMYFUNCTION("""COMPUTED_VALUE"""),"9-30-消防系統無法發揮冷卻作用")</f>
        <v>9-30-消防系統無法發揮冷卻作用</v>
      </c>
      <c r="U179" s="26"/>
      <c r="V179" s="1"/>
      <c r="W179" s="1"/>
      <c r="X179" s="1"/>
      <c r="Y179" s="1"/>
      <c r="Z179" s="1"/>
    </row>
    <row r="180" ht="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30" t="str">
        <f>IFERROR(__xludf.DUMMYFUNCTION("""COMPUTED_VALUE"""),"7-16-發生電池櫃熱失控傳播現象")</f>
        <v>7-16-發生電池櫃熱失控傳播現象</v>
      </c>
      <c r="Q180" s="20"/>
      <c r="R180" s="7"/>
      <c r="S180" s="1"/>
      <c r="T180" s="32" t="str">
        <f>IFERROR(__xludf.DUMMYFUNCTION("""COMPUTED_VALUE"""),"R173=30.1% ~ 36.8%")</f>
        <v>R173=30.1% ~ 36.8%</v>
      </c>
      <c r="U180" s="30" t="str">
        <f>IFERROR(__xludf.DUMMYFUNCTION("""COMPUTED_VALUE"""),"10-60-熱煙或毒性氣體危害至儲能空間以外")</f>
        <v>10-60-熱煙或毒性氣體危害至儲能空間以外</v>
      </c>
      <c r="V180" s="10" t="str">
        <f>IFERROR(__xludf.DUMMYFUNCTION("""COMPUTED_VALUE"""),"Impact 88")</f>
        <v>Impact 88</v>
      </c>
      <c r="W180" s="1"/>
      <c r="X180" s="1"/>
      <c r="Y180" s="1"/>
      <c r="Z180" s="1"/>
    </row>
    <row r="181" ht="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32" t="str">
        <f>IFERROR(__xludf.DUMMYFUNCTION("""COMPUTED_VALUE"""),"R168=19.2% ~ 26.9%")</f>
        <v>R168=19.2% ~ 26.9%</v>
      </c>
      <c r="Q181" s="14"/>
      <c r="R181" s="7"/>
      <c r="S181" s="1"/>
      <c r="T181" s="1"/>
      <c r="U181" s="32" t="str">
        <f>IFERROR(__xludf.DUMMYFUNCTION("""COMPUTED_VALUE"""),"R175=49.9% ~ 54.7%")</f>
        <v>R175=49.9% ~ 54.7%</v>
      </c>
      <c r="V181" s="10" t="str">
        <f>IFERROR(__xludf.DUMMYFUNCTION("""COMPUTED_VALUE"""),"P(88)=0.028%")</f>
        <v>P(88)=0.028%</v>
      </c>
      <c r="W181" s="1"/>
      <c r="X181" s="1"/>
      <c r="Y181" s="1"/>
      <c r="Z181" s="1"/>
    </row>
    <row r="182" ht="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7"/>
      <c r="S182" s="1"/>
      <c r="T182" s="1"/>
      <c r="U182" s="1"/>
      <c r="V182" s="1"/>
      <c r="W182" s="1"/>
      <c r="X182" s="1"/>
      <c r="Y182" s="1"/>
      <c r="Z182" s="1"/>
    </row>
    <row r="183" ht="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7"/>
      <c r="S183" s="1"/>
      <c r="T183" s="1"/>
      <c r="U183" s="8" t="str">
        <f>IFERROR(__xludf.DUMMYFUNCTION("""COMPUTED_VALUE"""),"10-61-熱煙或毒性氣體未危害至儲能空間以外")</f>
        <v>10-61-熱煙或毒性氣體未危害至儲能空間以外</v>
      </c>
      <c r="V183" s="10" t="str">
        <f>IFERROR(__xludf.DUMMYFUNCTION("""COMPUTED_VALUE"""),"Impact 89")</f>
        <v>Impact 89</v>
      </c>
      <c r="W183" s="1"/>
      <c r="X183" s="1"/>
      <c r="Y183" s="1"/>
      <c r="Z183" s="1"/>
    </row>
    <row r="184" ht="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7"/>
      <c r="S184" s="1"/>
      <c r="T184" s="8" t="str">
        <f>IFERROR(__xludf.DUMMYFUNCTION("""COMPUTED_VALUE"""),"9-31-消防系統有效發揮冷卻作用")</f>
        <v>9-31-消防系統有效發揮冷卻作用</v>
      </c>
      <c r="U184" s="13" t="str">
        <f>IFERROR(__xludf.DUMMYFUNCTION("""COMPUTED_VALUE"""),"R178=56.6% ~ 62.6%")</f>
        <v>R178=56.6% ~ 62.6%</v>
      </c>
      <c r="V184" s="10" t="str">
        <f>IFERROR(__xludf.DUMMYFUNCTION("""COMPUTED_VALUE"""),"P(89)=0.050%")</f>
        <v>P(89)=0.050%</v>
      </c>
      <c r="W184" s="1"/>
      <c r="X184" s="1"/>
      <c r="Y184" s="1"/>
      <c r="Z184" s="1"/>
    </row>
    <row r="185" ht="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7"/>
      <c r="S185" s="1"/>
      <c r="T185" s="13" t="str">
        <f>IFERROR(__xludf.DUMMYFUNCTION("""COMPUTED_VALUE"""),"R177=53.7% ~ 59.4%")</f>
        <v>R177=53.7% ~ 59.4%</v>
      </c>
      <c r="U185" s="26"/>
      <c r="V185" s="1"/>
      <c r="W185" s="1"/>
      <c r="X185" s="1"/>
      <c r="Y185" s="1"/>
      <c r="Z185" s="1"/>
    </row>
    <row r="186" ht="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7"/>
      <c r="S186" s="24"/>
      <c r="T186" s="1"/>
      <c r="U186" s="30" t="str">
        <f>IFERROR(__xludf.DUMMYFUNCTION("""COMPUTED_VALUE"""),"10-62-熱煙或毒性氣體危害至儲能空間以外")</f>
        <v>10-62-熱煙或毒性氣體危害至儲能空間以外</v>
      </c>
      <c r="V186" s="10" t="str">
        <f>IFERROR(__xludf.DUMMYFUNCTION("""COMPUTED_VALUE"""),"Impact 90")</f>
        <v>Impact 90</v>
      </c>
      <c r="W186" s="1"/>
      <c r="X186" s="1"/>
      <c r="Y186" s="1"/>
      <c r="Z186" s="1"/>
    </row>
    <row r="187" ht="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30" t="str">
        <f>IFERROR(__xludf.DUMMYFUNCTION("""COMPUTED_VALUE"""),"8-16-可燃氣體濃度達到LFL")</f>
        <v>8-16-可燃氣體濃度達到LFL</v>
      </c>
      <c r="S187" s="20"/>
      <c r="T187" s="7"/>
      <c r="U187" s="32" t="str">
        <f>IFERROR(__xludf.DUMMYFUNCTION("""COMPUTED_VALUE"""),"R179=37.4% ~ 43.4%")</f>
        <v>R179=37.4% ~ 43.4%</v>
      </c>
      <c r="V187" s="10" t="str">
        <f>IFERROR(__xludf.DUMMYFUNCTION("""COMPUTED_VALUE"""),"P(90)=0.034%")</f>
        <v>P(90)=0.034%</v>
      </c>
      <c r="W187" s="1"/>
      <c r="X187" s="1"/>
      <c r="Y187" s="1"/>
      <c r="Z187" s="1"/>
    </row>
    <row r="188" ht="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32" t="str">
        <f>IFERROR(__xludf.DUMMYFUNCTION("""COMPUTED_VALUE"""),"R176=72.8% ~ 75.4%")</f>
        <v>R176=72.8% ~ 75.4%</v>
      </c>
      <c r="S188" s="14"/>
      <c r="T188" s="7"/>
      <c r="U188" s="1"/>
      <c r="V188" s="1"/>
      <c r="W188" s="1"/>
      <c r="X188" s="1"/>
      <c r="Y188" s="1"/>
      <c r="Z188" s="1"/>
    </row>
    <row r="189" ht="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7"/>
      <c r="U189" s="8" t="str">
        <f>IFERROR(__xludf.DUMMYFUNCTION("""COMPUTED_VALUE"""),"10-63-熱煙或毒性氣體未危害至儲能空間以外")</f>
        <v>10-63-熱煙或毒性氣體未危害至儲能空間以外</v>
      </c>
      <c r="V189" s="10" t="str">
        <f>IFERROR(__xludf.DUMMYFUNCTION("""COMPUTED_VALUE"""),"Impact 91")</f>
        <v>Impact 91</v>
      </c>
      <c r="W189" s="1"/>
      <c r="X189" s="1"/>
      <c r="Y189" s="1"/>
      <c r="Z189" s="1"/>
    </row>
    <row r="190" ht="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7"/>
      <c r="U190" s="13" t="str">
        <f>IFERROR(__xludf.DUMMYFUNCTION("""COMPUTED_VALUE"""),"R181=45.3% ~ 50.1%")</f>
        <v>R181=45.3% ~ 50.1%</v>
      </c>
      <c r="V190" s="10" t="str">
        <f>IFERROR(__xludf.DUMMYFUNCTION("""COMPUTED_VALUE"""),"P(91)=0.031%")</f>
        <v>P(91)=0.031%</v>
      </c>
      <c r="W190" s="1"/>
      <c r="X190" s="1"/>
      <c r="Y190" s="1"/>
      <c r="Z190" s="1"/>
    </row>
    <row r="191" ht="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30" t="str">
        <f>IFERROR(__xludf.DUMMYFUNCTION("""COMPUTED_VALUE"""),"9-32-消防系統無法發揮冷卻作用")</f>
        <v>9-32-消防系統無法發揮冷卻作用</v>
      </c>
      <c r="U191" s="26"/>
      <c r="V191" s="1"/>
      <c r="W191" s="1"/>
      <c r="X191" s="1"/>
      <c r="Y191" s="1"/>
      <c r="Z191" s="1"/>
    </row>
    <row r="192" ht="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32" t="str">
        <f>IFERROR(__xludf.DUMMYFUNCTION("""COMPUTED_VALUE"""),"R180=40.6% ~ 46.3%")</f>
        <v>R180=40.6% ~ 46.3%</v>
      </c>
      <c r="U192" s="30" t="str">
        <f>IFERROR(__xludf.DUMMYFUNCTION("""COMPUTED_VALUE"""),"10-64-熱煙或毒性氣體危害至儲能空間以外")</f>
        <v>10-64-熱煙或毒性氣體危害至儲能空間以外</v>
      </c>
      <c r="V192" s="10" t="str">
        <f>IFERROR(__xludf.DUMMYFUNCTION("""COMPUTED_VALUE"""),"Impact 92")</f>
        <v>Impact 92</v>
      </c>
      <c r="W192" s="1"/>
      <c r="X192" s="1"/>
      <c r="Y192" s="1"/>
      <c r="Z192" s="1"/>
    </row>
    <row r="193" ht="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32" t="str">
        <f>IFERROR(__xludf.DUMMYFUNCTION("""COMPUTED_VALUE"""),"R182=49.9% ~ 54.7%")</f>
        <v>R182=49.9% ~ 54.7%</v>
      </c>
      <c r="V193" s="10" t="str">
        <f>IFERROR(__xludf.DUMMYFUNCTION("""COMPUTED_VALUE"""),"P(92)=0.034%")</f>
        <v>P(92)=0.034%</v>
      </c>
      <c r="W193" s="1"/>
      <c r="X193" s="1"/>
      <c r="Y193" s="1"/>
      <c r="Z193" s="1"/>
    </row>
    <row r="194" ht="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5">
    <mergeCell ref="J53:K53"/>
    <mergeCell ref="L54:M54"/>
    <mergeCell ref="L55:M55"/>
    <mergeCell ref="F56:G56"/>
    <mergeCell ref="F57:G57"/>
    <mergeCell ref="D32:E32"/>
    <mergeCell ref="D33:E33"/>
    <mergeCell ref="H49:I49"/>
    <mergeCell ref="L49:M49"/>
    <mergeCell ref="H50:I50"/>
    <mergeCell ref="L50:M50"/>
    <mergeCell ref="J52:K52"/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J28:K28"/>
    <mergeCell ref="N27:O27"/>
    <mergeCell ref="L29:M29"/>
    <mergeCell ref="P29:Q29"/>
    <mergeCell ref="L30:M30"/>
    <mergeCell ref="P30:Q30"/>
    <mergeCell ref="R31:S31"/>
    <mergeCell ref="R32:S32"/>
    <mergeCell ref="N28:O28"/>
    <mergeCell ref="N32:O32"/>
    <mergeCell ref="N33:O33"/>
    <mergeCell ref="P36:Q36"/>
    <mergeCell ref="P37:Q37"/>
    <mergeCell ref="R43:S43"/>
    <mergeCell ref="R44:S44"/>
    <mergeCell ref="L73:M73"/>
    <mergeCell ref="L74:M74"/>
    <mergeCell ref="N75:O75"/>
    <mergeCell ref="J76:K76"/>
    <mergeCell ref="N76:O76"/>
    <mergeCell ref="N51:O51"/>
    <mergeCell ref="N52:O52"/>
    <mergeCell ref="P53:Q53"/>
    <mergeCell ref="P54:Q54"/>
    <mergeCell ref="R55:S55"/>
    <mergeCell ref="R56:S56"/>
    <mergeCell ref="N57:O57"/>
    <mergeCell ref="N58:O58"/>
    <mergeCell ref="P61:Q61"/>
    <mergeCell ref="P62:Q62"/>
    <mergeCell ref="H63:I63"/>
    <mergeCell ref="H64:I64"/>
    <mergeCell ref="R67:S67"/>
    <mergeCell ref="R68:S68"/>
    <mergeCell ref="R79:S79"/>
    <mergeCell ref="R80:S80"/>
    <mergeCell ref="R91:S91"/>
    <mergeCell ref="R92:S92"/>
    <mergeCell ref="P78:Q78"/>
    <mergeCell ref="P85:Q85"/>
    <mergeCell ref="P86:Q86"/>
    <mergeCell ref="B77:B78"/>
    <mergeCell ref="J77:K77"/>
    <mergeCell ref="P77:Q77"/>
    <mergeCell ref="L78:M78"/>
    <mergeCell ref="B79:B82"/>
    <mergeCell ref="L79:M79"/>
    <mergeCell ref="B83:B84"/>
    <mergeCell ref="J99:K99"/>
    <mergeCell ref="J100:K100"/>
    <mergeCell ref="F103:G103"/>
    <mergeCell ref="F104:G104"/>
    <mergeCell ref="N81:O81"/>
    <mergeCell ref="N82:O82"/>
    <mergeCell ref="H97:I97"/>
    <mergeCell ref="L97:M97"/>
    <mergeCell ref="H98:I98"/>
    <mergeCell ref="L98:M98"/>
    <mergeCell ref="N99:O99"/>
    <mergeCell ref="L146:M146"/>
    <mergeCell ref="N147:O147"/>
    <mergeCell ref="L149:M149"/>
    <mergeCell ref="P149:Q149"/>
    <mergeCell ref="L150:M150"/>
    <mergeCell ref="P150:Q150"/>
    <mergeCell ref="R151:S151"/>
    <mergeCell ref="R152:S152"/>
    <mergeCell ref="N148:O148"/>
    <mergeCell ref="N152:O152"/>
    <mergeCell ref="N153:O153"/>
    <mergeCell ref="P157:Q157"/>
    <mergeCell ref="P158:Q158"/>
    <mergeCell ref="R163:S163"/>
    <mergeCell ref="R164:S164"/>
    <mergeCell ref="L169:M169"/>
    <mergeCell ref="L170:M170"/>
    <mergeCell ref="J171:K171"/>
    <mergeCell ref="N171:O171"/>
    <mergeCell ref="J172:K172"/>
    <mergeCell ref="N172:O172"/>
    <mergeCell ref="P173:Q173"/>
    <mergeCell ref="P174:Q174"/>
    <mergeCell ref="L173:M173"/>
    <mergeCell ref="L174:M174"/>
    <mergeCell ref="R175:S175"/>
    <mergeCell ref="N176:O176"/>
    <mergeCell ref="N177:O177"/>
    <mergeCell ref="P180:Q180"/>
    <mergeCell ref="P181:Q181"/>
    <mergeCell ref="N100:O100"/>
    <mergeCell ref="L101:M101"/>
    <mergeCell ref="P101:Q101"/>
    <mergeCell ref="L102:M102"/>
    <mergeCell ref="P102:Q102"/>
    <mergeCell ref="R103:S103"/>
    <mergeCell ref="R104:S104"/>
    <mergeCell ref="N104:O104"/>
    <mergeCell ref="N105:O105"/>
    <mergeCell ref="P108:Q108"/>
    <mergeCell ref="P109:Q109"/>
    <mergeCell ref="H110:I110"/>
    <mergeCell ref="H111:I111"/>
    <mergeCell ref="R115:S115"/>
    <mergeCell ref="R116:S116"/>
    <mergeCell ref="L121:M121"/>
    <mergeCell ref="L122:M122"/>
    <mergeCell ref="J123:K123"/>
    <mergeCell ref="N123:O123"/>
    <mergeCell ref="J124:K124"/>
    <mergeCell ref="N124:O124"/>
    <mergeCell ref="L125:M125"/>
    <mergeCell ref="P125:Q125"/>
    <mergeCell ref="D126:E126"/>
    <mergeCell ref="L126:M126"/>
    <mergeCell ref="P126:Q126"/>
    <mergeCell ref="D127:E127"/>
    <mergeCell ref="N128:O128"/>
    <mergeCell ref="N129:O129"/>
    <mergeCell ref="H145:I145"/>
    <mergeCell ref="H146:I146"/>
    <mergeCell ref="J147:K147"/>
    <mergeCell ref="J148:K148"/>
    <mergeCell ref="F151:G151"/>
    <mergeCell ref="F152:G152"/>
    <mergeCell ref="H158:I158"/>
    <mergeCell ref="H159:I159"/>
    <mergeCell ref="R127:S127"/>
    <mergeCell ref="R128:S128"/>
    <mergeCell ref="P132:Q132"/>
    <mergeCell ref="P133:Q133"/>
    <mergeCell ref="R139:S139"/>
    <mergeCell ref="R140:S140"/>
    <mergeCell ref="L145:M145"/>
    <mergeCell ref="R176:S176"/>
    <mergeCell ref="R187:S187"/>
    <mergeCell ref="R188:S188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56"/>
    <col customWidth="1" min="2" max="2" width="8.89"/>
    <col customWidth="1" min="3" max="3" width="0.89"/>
    <col customWidth="1" min="4" max="4" width="2.67"/>
    <col customWidth="1" min="5" max="5" width="3.89"/>
    <col customWidth="1" min="6" max="6" width="8.89"/>
    <col customWidth="1" min="7" max="8" width="0.89"/>
    <col customWidth="1" min="9" max="9" width="2.67"/>
    <col customWidth="1" min="10" max="14" width="0.44"/>
    <col customWidth="1" min="15" max="15" width="2.67"/>
    <col customWidth="1" min="16" max="16" width="0.78"/>
    <col customWidth="1" min="17" max="17" width="3.78"/>
    <col customWidth="1" min="18" max="18" width="8.89"/>
    <col customWidth="1" min="19" max="19" width="0.89"/>
    <col customWidth="1" min="20" max="20" width="2.67"/>
    <col customWidth="1" min="21" max="21" width="0.89"/>
    <col customWidth="1" min="22" max="22" width="2.89"/>
    <col customWidth="1" min="23" max="23" width="2.67"/>
    <col customWidth="1" min="24" max="24" width="0.89"/>
    <col customWidth="1" min="25" max="25" width="13.44"/>
    <col customWidth="1" min="26" max="26" width="3.0"/>
  </cols>
  <sheetData>
    <row r="1" ht="5.25" customHeight="1">
      <c r="A1" s="73" t="str">
        <f>IFERROR(__xludf.DUMMYFUNCTION("IMPORTRANGE(""https://docs.google.com/spreadsheets/d/1IoY3le1f0RkN_GCm1_2XtRjjuF2F2VjMppo_90wJzDQ/edit?gid=936159846#gid=936159846"",""'數值'!A1:Z"")"),"")</f>
        <v/>
      </c>
      <c r="B1" s="74"/>
      <c r="C1" s="73"/>
      <c r="D1" s="73"/>
      <c r="E1" s="3"/>
      <c r="F1" s="74"/>
      <c r="G1" s="74"/>
      <c r="H1" s="73"/>
      <c r="I1" s="73"/>
      <c r="J1" s="73"/>
      <c r="K1" s="73"/>
      <c r="L1" s="73"/>
      <c r="M1" s="73"/>
      <c r="N1" s="73"/>
      <c r="O1" s="73"/>
      <c r="P1" s="73"/>
      <c r="Q1" s="73"/>
      <c r="R1" s="74"/>
      <c r="S1" s="73"/>
      <c r="T1" s="73"/>
      <c r="U1" s="73"/>
      <c r="V1" s="73"/>
      <c r="W1" s="73"/>
      <c r="X1" s="73"/>
      <c r="Y1" s="75" t="str">
        <f>IFERROR(__xludf.DUMMYFUNCTION("""COMPUTED_VALUE"""),"頂層事件(Top Event )")</f>
        <v>頂層事件(Top Event )</v>
      </c>
    </row>
    <row r="2" ht="3.75" customHeight="1">
      <c r="A2" s="76" t="str">
        <f>IFERROR(__xludf.DUMMYFUNCTION("""COMPUTED_VALUE"""),"F1-a1-1(t)")</f>
        <v>F1-a1-1(t)</v>
      </c>
      <c r="B2" s="77" t="str">
        <f>IFERROR(__xludf.DUMMYFUNCTION("""COMPUTED_VALUE"""),"充電電壓設定不當")</f>
        <v>充電電壓設定不當</v>
      </c>
      <c r="C2" s="78"/>
      <c r="D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9" t="str">
        <f>IFERROR(__xludf.DUMMYFUNCTION("""COMPUTED_VALUE"""),"電芯內部溫度異常")</f>
        <v>電芯內部溫度異常</v>
      </c>
      <c r="S2" s="78"/>
      <c r="T2" s="73"/>
      <c r="U2" s="73"/>
      <c r="V2" s="80" t="str">
        <f>IFERROR(__xludf.DUMMYFUNCTION("""COMPUTED_VALUE"""),"T1")</f>
        <v>T1</v>
      </c>
      <c r="W2" s="73"/>
      <c r="X2" s="73"/>
    </row>
    <row r="3" ht="3.75" customHeight="1">
      <c r="A3" s="11"/>
      <c r="B3" s="12"/>
      <c r="C3" s="78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6" t="str">
        <f>IFERROR(__xludf.DUMMYFUNCTION("""COMPUTED_VALUE"""),"F1(t)")</f>
        <v>F1(t)</v>
      </c>
      <c r="R3" s="12"/>
      <c r="S3" s="78"/>
      <c r="T3" s="73"/>
      <c r="U3" s="73"/>
      <c r="W3" s="73"/>
      <c r="X3" s="73"/>
      <c r="Y3" s="81" t="str">
        <f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Z3" s="14"/>
    </row>
    <row r="4" ht="3.75" customHeight="1">
      <c r="A4" s="82">
        <f>IFERROR(__xludf.DUMMYFUNCTION("""COMPUTED_VALUE"""),0.1190000000000001)</f>
        <v>0.119</v>
      </c>
      <c r="B4" s="12"/>
      <c r="C4" s="83"/>
      <c r="D4" s="84" t="str">
        <f>IFERROR(__xludf.DUMMYFUNCTION("""COMPUTED_VALUE"""),"AND")</f>
        <v>AND</v>
      </c>
      <c r="E4" s="85" t="str">
        <f>IFERROR(__xludf.DUMMYFUNCTION("""COMPUTED_VALUE"""),"F1-a1(t)")</f>
        <v>F1-a1(t)</v>
      </c>
      <c r="F4" s="77" t="str">
        <f>IFERROR(__xludf.DUMMYFUNCTION("""COMPUTED_VALUE"""),"充電電壓設定不當")</f>
        <v>充電電壓設定不當</v>
      </c>
      <c r="G4" s="73"/>
      <c r="H4" s="73"/>
      <c r="I4" s="73"/>
      <c r="J4" s="73"/>
      <c r="K4" s="73"/>
      <c r="L4" s="73"/>
      <c r="M4" s="73"/>
      <c r="N4" s="73"/>
      <c r="O4" s="84" t="str">
        <f>IFERROR(__xludf.DUMMYFUNCTION("""COMPUTED_VALUE"""),"OR")</f>
        <v>OR</v>
      </c>
      <c r="P4" s="73"/>
      <c r="Q4" s="20"/>
      <c r="R4" s="12"/>
      <c r="S4" s="83"/>
      <c r="T4" s="84" t="str">
        <f>IFERROR(__xludf.DUMMYFUNCTION("""COMPUTED_VALUE"""),"AND")</f>
        <v>AND</v>
      </c>
      <c r="U4" s="73"/>
      <c r="V4" s="9"/>
      <c r="W4" s="84" t="str">
        <f>IFERROR(__xludf.DUMMYFUNCTION("""COMPUTED_VALUE"""),"OR")</f>
        <v>OR</v>
      </c>
      <c r="X4" s="73"/>
      <c r="Y4" s="52"/>
      <c r="Z4" s="11"/>
    </row>
    <row r="5" ht="3.75" customHeight="1">
      <c r="A5" s="11"/>
      <c r="B5" s="21"/>
      <c r="C5" s="84"/>
      <c r="D5" s="12"/>
      <c r="E5" s="21"/>
      <c r="F5" s="12"/>
      <c r="G5" s="73"/>
      <c r="H5" s="73"/>
      <c r="I5" s="73"/>
      <c r="J5" s="73"/>
      <c r="K5" s="86"/>
      <c r="L5" s="87"/>
      <c r="M5" s="87"/>
      <c r="N5" s="87"/>
      <c r="O5" s="12"/>
      <c r="P5" s="87"/>
      <c r="Q5" s="88">
        <f>IFERROR(__xludf.DUMMYFUNCTION("""COMPUTED_VALUE"""),9.450716160000022E-4)</f>
        <v>0.000945071616</v>
      </c>
      <c r="R5" s="21"/>
      <c r="S5" s="84"/>
      <c r="T5" s="12"/>
      <c r="U5" s="87"/>
      <c r="V5" s="89">
        <f>IFERROR(__xludf.DUMMYFUNCTION("""COMPUTED_VALUE"""),1.228593100800004E-5)</f>
        <v>0.00001228593101</v>
      </c>
      <c r="W5" s="12"/>
      <c r="X5" s="90"/>
      <c r="Y5" s="52"/>
      <c r="Z5" s="11"/>
    </row>
    <row r="6" ht="3.75" customHeight="1">
      <c r="A6" s="91"/>
      <c r="B6" s="73"/>
      <c r="C6" s="73"/>
      <c r="D6" s="12"/>
      <c r="E6" s="92">
        <f>IFERROR(__xludf.DUMMYFUNCTION("""COMPUTED_VALUE"""),0.015232000000000027)</f>
        <v>0.015232</v>
      </c>
      <c r="F6" s="12"/>
      <c r="G6" s="84"/>
      <c r="H6" s="73"/>
      <c r="I6" s="73"/>
      <c r="J6" s="73"/>
      <c r="K6" s="78"/>
      <c r="L6" s="86"/>
      <c r="M6" s="87"/>
      <c r="N6" s="87"/>
      <c r="O6" s="12"/>
      <c r="P6" s="73"/>
      <c r="R6" s="73"/>
      <c r="S6" s="73"/>
      <c r="T6" s="12"/>
      <c r="U6" s="73"/>
      <c r="V6" s="11"/>
      <c r="W6" s="12"/>
      <c r="X6" s="86"/>
      <c r="Y6" s="52"/>
      <c r="Z6" s="11"/>
    </row>
    <row r="7" ht="3.75" customHeight="1">
      <c r="A7" s="76" t="str">
        <f>IFERROR(__xludf.DUMMYFUNCTION("""COMPUTED_VALUE"""),"F1-a1-2(t)")</f>
        <v>F1-a1-2(t)</v>
      </c>
      <c r="B7" s="77" t="str">
        <f>IFERROR(__xludf.DUMMYFUNCTION("""COMPUTED_VALUE"""),"充電電壓控制器故障")</f>
        <v>充電電壓控制器故障</v>
      </c>
      <c r="C7" s="83"/>
      <c r="D7" s="12"/>
      <c r="E7" s="11"/>
      <c r="F7" s="21"/>
      <c r="G7" s="93"/>
      <c r="H7" s="73"/>
      <c r="I7" s="73"/>
      <c r="J7" s="73"/>
      <c r="K7" s="78"/>
      <c r="L7" s="78"/>
      <c r="M7" s="86"/>
      <c r="N7" s="87"/>
      <c r="O7" s="12"/>
      <c r="P7" s="73"/>
      <c r="Q7" s="76" t="str">
        <f>IFERROR(__xludf.DUMMYFUNCTION("""COMPUTED_VALUE"""),"F2(t)")</f>
        <v>F2(t)</v>
      </c>
      <c r="R7" s="79" t="str">
        <f>IFERROR(__xludf.DUMMYFUNCTION("""COMPUTED_VALUE"""),"溫度保護機制失效")</f>
        <v>溫度保護機制失效</v>
      </c>
      <c r="S7" s="83"/>
      <c r="T7" s="12"/>
      <c r="U7" s="73"/>
      <c r="V7" s="94" t="str">
        <f>IFERROR(__xludf.DUMMYFUNCTION("""COMPUTED_VALUE"""),"T2")</f>
        <v>T2</v>
      </c>
      <c r="W7" s="12"/>
      <c r="X7" s="73"/>
      <c r="Y7" s="52"/>
      <c r="Z7" s="11"/>
    </row>
    <row r="8" ht="3.75" customHeight="1">
      <c r="A8" s="11"/>
      <c r="B8" s="12"/>
      <c r="C8" s="84"/>
      <c r="D8" s="21"/>
      <c r="E8" s="73"/>
      <c r="F8" s="73"/>
      <c r="G8" s="76"/>
      <c r="H8" s="73"/>
      <c r="I8" s="84" t="str">
        <f>IFERROR(__xludf.DUMMYFUNCTION("""COMPUTED_VALUE"""),"AND")</f>
        <v>AND</v>
      </c>
      <c r="J8" s="73"/>
      <c r="K8" s="78"/>
      <c r="L8" s="78"/>
      <c r="M8" s="78"/>
      <c r="N8" s="86"/>
      <c r="O8" s="21"/>
      <c r="P8" s="73"/>
      <c r="Q8" s="20"/>
      <c r="R8" s="12"/>
      <c r="S8" s="84"/>
      <c r="T8" s="21"/>
      <c r="U8" s="73"/>
      <c r="V8" s="12"/>
      <c r="W8" s="21"/>
      <c r="X8" s="73"/>
      <c r="Y8" s="52"/>
      <c r="Z8" s="11"/>
    </row>
    <row r="9" ht="3.75" customHeight="1">
      <c r="A9" s="82">
        <f>IFERROR(__xludf.DUMMYFUNCTION("""COMPUTED_VALUE"""),0.1280000000000001)</f>
        <v>0.128</v>
      </c>
      <c r="B9" s="12"/>
      <c r="C9" s="78"/>
      <c r="D9" s="73"/>
      <c r="E9" s="73"/>
      <c r="F9" s="73"/>
      <c r="G9" s="76"/>
      <c r="H9" s="95"/>
      <c r="I9" s="12"/>
      <c r="J9" s="73"/>
      <c r="K9" s="78"/>
      <c r="L9" s="78"/>
      <c r="M9" s="78"/>
      <c r="N9" s="78"/>
      <c r="O9" s="73"/>
      <c r="P9" s="73"/>
      <c r="Q9" s="96">
        <f>IFERROR(__xludf.DUMMYFUNCTION("""COMPUTED_VALUE"""),0.013000000000000012)</f>
        <v>0.013</v>
      </c>
      <c r="R9" s="12"/>
      <c r="S9" s="78"/>
      <c r="T9" s="73"/>
      <c r="U9" s="73"/>
      <c r="V9" s="97">
        <f>IFERROR(__xludf.DUMMYFUNCTION("""COMPUTED_VALUE"""),0.01624)</f>
        <v>0.01624</v>
      </c>
      <c r="W9" s="87"/>
      <c r="X9" s="73"/>
      <c r="Y9" s="23"/>
      <c r="Z9" s="20"/>
    </row>
    <row r="10" ht="3.75" customHeight="1">
      <c r="A10" s="11"/>
      <c r="B10" s="21"/>
      <c r="C10" s="78"/>
      <c r="D10" s="73"/>
      <c r="E10" s="73"/>
      <c r="F10" s="73"/>
      <c r="G10" s="76"/>
      <c r="H10" s="98"/>
      <c r="I10" s="12"/>
      <c r="J10" s="87"/>
      <c r="K10" s="76"/>
      <c r="L10" s="78"/>
      <c r="M10" s="78"/>
      <c r="N10" s="78"/>
      <c r="O10" s="73"/>
      <c r="P10" s="73"/>
      <c r="Q10" s="12"/>
      <c r="R10" s="21"/>
      <c r="S10" s="73"/>
      <c r="T10" s="73"/>
      <c r="U10" s="73"/>
      <c r="V10" s="52"/>
      <c r="W10" s="73"/>
      <c r="X10" s="73"/>
      <c r="Y10" s="99" t="str">
        <f>IFERROR(__xludf.DUMMYFUNCTION("""COMPUTED_VALUE"""),"Freq.Ann (Annual Frequency) =")</f>
        <v>Freq.Ann (Annual Frequency) =</v>
      </c>
      <c r="Z10" s="63">
        <f>IFERROR(__xludf.DUMMYFUNCTION("""COMPUTED_VALUE"""),0.016252285931008)</f>
        <v>0.01625228593</v>
      </c>
    </row>
    <row r="11" ht="3.75" customHeight="1">
      <c r="A11" s="100"/>
      <c r="B11" s="101"/>
      <c r="C11" s="73"/>
      <c r="D11" s="73"/>
      <c r="E11" s="102"/>
      <c r="F11" s="73"/>
      <c r="G11" s="76"/>
      <c r="H11" s="73"/>
      <c r="I11" s="12"/>
      <c r="J11" s="73"/>
      <c r="K11" s="76"/>
      <c r="L11" s="78"/>
      <c r="M11" s="78"/>
      <c r="N11" s="78"/>
      <c r="O11" s="73"/>
      <c r="P11" s="76"/>
      <c r="Q11" s="73"/>
      <c r="R11" s="101"/>
      <c r="S11" s="78"/>
      <c r="T11" s="73"/>
      <c r="U11" s="73"/>
      <c r="V11" s="78"/>
      <c r="W11" s="73"/>
      <c r="X11" s="73"/>
    </row>
    <row r="12" ht="3.75" customHeight="1">
      <c r="A12" s="76" t="str">
        <f>IFERROR(__xludf.DUMMYFUNCTION("""COMPUTED_VALUE"""),"F1-a2-1(t)")</f>
        <v>F1-a2-1(t)</v>
      </c>
      <c r="B12" s="77" t="str">
        <f>IFERROR(__xludf.DUMMYFUNCTION("""COMPUTED_VALUE"""),"過電壓保護設定不當")</f>
        <v>過電壓保護設定不當</v>
      </c>
      <c r="C12" s="78"/>
      <c r="D12" s="73"/>
      <c r="E12" s="102"/>
      <c r="F12" s="73"/>
      <c r="G12" s="76"/>
      <c r="H12" s="73"/>
      <c r="I12" s="21"/>
      <c r="J12" s="73"/>
      <c r="K12" s="76"/>
      <c r="L12" s="78"/>
      <c r="M12" s="78"/>
      <c r="N12" s="78"/>
      <c r="O12" s="73"/>
      <c r="P12" s="76"/>
      <c r="Q12" s="103" t="str">
        <f>IFERROR(__xludf.DUMMYFUNCTION("""COMPUTED_VALUE"""),"F2-a1(t)")</f>
        <v>F2-a1(t)</v>
      </c>
      <c r="R12" s="104" t="str">
        <f>IFERROR(__xludf.DUMMYFUNCTION("""COMPUTED_VALUE"""),"電芯內部溫度異常")</f>
        <v>電芯內部溫度異常</v>
      </c>
      <c r="S12" s="73"/>
      <c r="T12" s="73"/>
      <c r="U12" s="73"/>
      <c r="V12" s="78"/>
      <c r="W12" s="73"/>
      <c r="X12" s="73"/>
      <c r="Y12" s="73"/>
      <c r="Z12" s="73"/>
    </row>
    <row r="13" ht="3.75" customHeight="1">
      <c r="A13" s="11"/>
      <c r="B13" s="12"/>
      <c r="C13" s="78"/>
      <c r="D13" s="73"/>
      <c r="E13" s="73"/>
      <c r="F13" s="101"/>
      <c r="G13" s="105"/>
      <c r="H13" s="73"/>
      <c r="I13" s="73"/>
      <c r="J13" s="73"/>
      <c r="K13" s="76"/>
      <c r="L13" s="78"/>
      <c r="M13" s="78"/>
      <c r="N13" s="78"/>
      <c r="O13" s="73"/>
      <c r="P13" s="76"/>
      <c r="Q13" s="11"/>
      <c r="R13" s="12"/>
      <c r="S13" s="73"/>
      <c r="T13" s="73"/>
      <c r="U13" s="73"/>
      <c r="V13" s="78"/>
      <c r="W13" s="73"/>
      <c r="X13" s="73"/>
      <c r="Y13" s="73"/>
      <c r="Z13" s="73"/>
    </row>
    <row r="14" ht="3.75" customHeight="1">
      <c r="A14" s="82">
        <f>IFERROR(__xludf.DUMMYFUNCTION("""COMPUTED_VALUE"""),0.132)</f>
        <v>0.132</v>
      </c>
      <c r="B14" s="12"/>
      <c r="C14" s="83"/>
      <c r="D14" s="84" t="str">
        <f>IFERROR(__xludf.DUMMYFUNCTION("""COMPUTED_VALUE"""),"AND")</f>
        <v>AND</v>
      </c>
      <c r="E14" s="85" t="str">
        <f>IFERROR(__xludf.DUMMYFUNCTION("""COMPUTED_VALUE"""),"F1-a2(t)")</f>
        <v>F1-a2(t)</v>
      </c>
      <c r="F14" s="77" t="str">
        <f>IFERROR(__xludf.DUMMYFUNCTION("""COMPUTED_VALUE"""),"充電電壓設定不當")</f>
        <v>充電電壓設定不當</v>
      </c>
      <c r="G14" s="93"/>
      <c r="H14" s="73"/>
      <c r="I14" s="73"/>
      <c r="J14" s="73"/>
      <c r="K14" s="76"/>
      <c r="L14" s="78"/>
      <c r="M14" s="78"/>
      <c r="N14" s="78"/>
      <c r="O14" s="73"/>
      <c r="P14" s="76"/>
      <c r="Q14" s="82">
        <f>IFERROR(__xludf.DUMMYFUNCTION("""COMPUTED_VALUE"""),0.11599999999999999)</f>
        <v>0.116</v>
      </c>
      <c r="R14" s="12"/>
      <c r="S14" s="83"/>
      <c r="T14" s="84" t="str">
        <f>IFERROR(__xludf.DUMMYFUNCTION("""COMPUTED_VALUE"""),"AND")</f>
        <v>AND</v>
      </c>
      <c r="U14" s="73"/>
      <c r="V14" s="78"/>
      <c r="W14" s="73"/>
      <c r="X14" s="73"/>
      <c r="Y14" s="73"/>
      <c r="Z14" s="73"/>
    </row>
    <row r="15" ht="3.75" customHeight="1">
      <c r="A15" s="11"/>
      <c r="B15" s="21"/>
      <c r="C15" s="84"/>
      <c r="D15" s="12"/>
      <c r="E15" s="21"/>
      <c r="F15" s="12"/>
      <c r="G15" s="83"/>
      <c r="H15" s="73"/>
      <c r="I15" s="73"/>
      <c r="J15" s="73"/>
      <c r="K15" s="76"/>
      <c r="L15" s="78"/>
      <c r="M15" s="78"/>
      <c r="N15" s="78"/>
      <c r="O15" s="73"/>
      <c r="P15" s="76"/>
      <c r="Q15" s="11"/>
      <c r="R15" s="21"/>
      <c r="S15" s="84"/>
      <c r="T15" s="12"/>
      <c r="U15" s="93"/>
      <c r="V15" s="73"/>
      <c r="W15" s="73"/>
      <c r="X15" s="73"/>
      <c r="Y15" s="73"/>
      <c r="Z15" s="73"/>
    </row>
    <row r="16" ht="3.75" customHeight="1">
      <c r="A16" s="91"/>
      <c r="B16" s="73"/>
      <c r="C16" s="73"/>
      <c r="D16" s="12"/>
      <c r="E16" s="92">
        <f>IFERROR(__xludf.DUMMYFUNCTION("""COMPUTED_VALUE"""),0.015840000000000014)</f>
        <v>0.01584</v>
      </c>
      <c r="F16" s="12"/>
      <c r="G16" s="73"/>
      <c r="H16" s="73"/>
      <c r="I16" s="73"/>
      <c r="J16" s="73"/>
      <c r="K16" s="76"/>
      <c r="L16" s="78"/>
      <c r="M16" s="78"/>
      <c r="N16" s="78"/>
      <c r="O16" s="73"/>
      <c r="P16" s="76"/>
      <c r="Q16" s="73"/>
      <c r="R16" s="73"/>
      <c r="S16" s="73"/>
      <c r="T16" s="12"/>
      <c r="U16" s="83"/>
      <c r="V16" s="73"/>
      <c r="W16" s="73"/>
      <c r="X16" s="73"/>
      <c r="Y16" s="73"/>
      <c r="Z16" s="73"/>
    </row>
    <row r="17" ht="3.75" customHeight="1">
      <c r="A17" s="76" t="str">
        <f>IFERROR(__xludf.DUMMYFUNCTION("""COMPUTED_VALUE"""),"F1-a2-2(t)")</f>
        <v>F1-a2-2(t)</v>
      </c>
      <c r="B17" s="77" t="str">
        <f>IFERROR(__xludf.DUMMYFUNCTION("""COMPUTED_VALUE"""),"過電壓保護裝置故障")</f>
        <v>過電壓保護裝置故障</v>
      </c>
      <c r="C17" s="83"/>
      <c r="D17" s="12"/>
      <c r="E17" s="11"/>
      <c r="F17" s="21"/>
      <c r="G17" s="73"/>
      <c r="H17" s="73"/>
      <c r="I17" s="73"/>
      <c r="J17" s="73"/>
      <c r="K17" s="76"/>
      <c r="L17" s="78"/>
      <c r="M17" s="78"/>
      <c r="N17" s="78"/>
      <c r="O17" s="73"/>
      <c r="P17" s="76"/>
      <c r="Q17" s="103" t="str">
        <f>IFERROR(__xludf.DUMMYFUNCTION("""COMPUTED_VALUE"""),"F2-a2(t)")</f>
        <v>F2-a2(t)</v>
      </c>
      <c r="R17" s="106" t="str">
        <f>IFERROR(__xludf.DUMMYFUNCTION("""COMPUTED_VALUE"""),"溫度保護機制失效")</f>
        <v>溫度保護機制失效</v>
      </c>
      <c r="S17" s="83"/>
      <c r="T17" s="12"/>
      <c r="U17" s="86"/>
      <c r="V17" s="73"/>
      <c r="W17" s="73"/>
      <c r="X17" s="73"/>
      <c r="Y17" s="73"/>
      <c r="Z17" s="73"/>
    </row>
    <row r="18" ht="3.75" customHeight="1">
      <c r="A18" s="11"/>
      <c r="B18" s="12"/>
      <c r="C18" s="84"/>
      <c r="D18" s="21"/>
      <c r="E18" s="73"/>
      <c r="F18" s="73"/>
      <c r="G18" s="73"/>
      <c r="H18" s="73"/>
      <c r="I18" s="73"/>
      <c r="J18" s="73"/>
      <c r="K18" s="76"/>
      <c r="L18" s="78"/>
      <c r="M18" s="78"/>
      <c r="N18" s="78"/>
      <c r="O18" s="73"/>
      <c r="P18" s="76"/>
      <c r="Q18" s="11"/>
      <c r="R18" s="12"/>
      <c r="S18" s="84"/>
      <c r="T18" s="21"/>
      <c r="U18" s="73"/>
      <c r="V18" s="73"/>
      <c r="W18" s="73"/>
      <c r="X18" s="73"/>
      <c r="Y18" s="73"/>
      <c r="Z18" s="73"/>
    </row>
    <row r="19" ht="3.75" customHeight="1">
      <c r="A19" s="82">
        <f>IFERROR(__xludf.DUMMYFUNCTION("""COMPUTED_VALUE"""),0.1200000000000001)</f>
        <v>0.12</v>
      </c>
      <c r="B19" s="12"/>
      <c r="C19" s="78"/>
      <c r="D19" s="73"/>
      <c r="E19" s="73"/>
      <c r="F19" s="73"/>
      <c r="G19" s="73"/>
      <c r="H19" s="73"/>
      <c r="I19" s="73"/>
      <c r="J19" s="73"/>
      <c r="K19" s="76"/>
      <c r="L19" s="78"/>
      <c r="M19" s="78"/>
      <c r="N19" s="78"/>
      <c r="O19" s="73"/>
      <c r="P19" s="76"/>
      <c r="Q19" s="82">
        <f>IFERROR(__xludf.DUMMYFUNCTION("""COMPUTED_VALUE"""),0.14)</f>
        <v>0.14</v>
      </c>
      <c r="R19" s="12"/>
      <c r="S19" s="78"/>
      <c r="T19" s="73"/>
      <c r="U19" s="73"/>
      <c r="V19" s="73"/>
      <c r="W19" s="73"/>
      <c r="X19" s="73"/>
      <c r="Y19" s="73"/>
      <c r="Z19" s="73"/>
    </row>
    <row r="20" ht="3.75" customHeight="1">
      <c r="A20" s="11"/>
      <c r="B20" s="21"/>
      <c r="C20" s="78"/>
      <c r="D20" s="73"/>
      <c r="E20" s="73"/>
      <c r="F20" s="73"/>
      <c r="G20" s="73"/>
      <c r="H20" s="73"/>
      <c r="I20" s="73"/>
      <c r="J20" s="73"/>
      <c r="K20" s="76"/>
      <c r="L20" s="78"/>
      <c r="M20" s="78"/>
      <c r="N20" s="78"/>
      <c r="O20" s="73"/>
      <c r="P20" s="76"/>
      <c r="Q20" s="11"/>
      <c r="R20" s="21"/>
      <c r="S20" s="73"/>
      <c r="T20" s="73"/>
      <c r="U20" s="73"/>
      <c r="V20" s="73"/>
      <c r="W20" s="73"/>
      <c r="X20" s="73"/>
      <c r="Y20" s="73"/>
      <c r="Z20" s="73"/>
    </row>
    <row r="21" ht="3.75" customHeight="1">
      <c r="A21" s="107"/>
      <c r="B21" s="73"/>
      <c r="C21" s="73"/>
      <c r="D21" s="73"/>
      <c r="E21" s="102"/>
      <c r="F21" s="73"/>
      <c r="G21" s="73"/>
      <c r="H21" s="73"/>
      <c r="I21" s="73"/>
      <c r="J21" s="73"/>
      <c r="K21" s="76"/>
      <c r="L21" s="78"/>
      <c r="M21" s="78"/>
      <c r="N21" s="78"/>
      <c r="O21" s="73"/>
      <c r="P21" s="76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3.75" customHeight="1">
      <c r="A22" s="76" t="str">
        <f>IFERROR(__xludf.DUMMYFUNCTION("""COMPUTED_VALUE"""),"F1-b1-1(t)")</f>
        <v>F1-b1-1(t)</v>
      </c>
      <c r="B22" s="77" t="str">
        <f>IFERROR(__xludf.DUMMYFUNCTION("""COMPUTED_VALUE"""),"充電電流設定不當")</f>
        <v>充電電流設定不當</v>
      </c>
      <c r="C22" s="78"/>
      <c r="D22" s="73"/>
      <c r="E22" s="102"/>
      <c r="F22" s="73"/>
      <c r="G22" s="73"/>
      <c r="H22" s="73"/>
      <c r="I22" s="73"/>
      <c r="J22" s="73"/>
      <c r="K22" s="76"/>
      <c r="L22" s="78"/>
      <c r="M22" s="78"/>
      <c r="N22" s="78"/>
      <c r="O22" s="73"/>
      <c r="P22" s="76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3.75" customHeight="1">
      <c r="A23" s="11"/>
      <c r="B23" s="12"/>
      <c r="C23" s="78"/>
      <c r="D23" s="73"/>
      <c r="E23" s="73"/>
      <c r="F23" s="73"/>
      <c r="G23" s="73"/>
      <c r="H23" s="73"/>
      <c r="I23" s="73"/>
      <c r="J23" s="73"/>
      <c r="K23" s="73"/>
      <c r="L23" s="78"/>
      <c r="M23" s="78"/>
      <c r="N23" s="78"/>
      <c r="O23" s="73"/>
      <c r="P23" s="76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3.75" customHeight="1">
      <c r="A24" s="82">
        <f>IFERROR(__xludf.DUMMYFUNCTION("""COMPUTED_VALUE"""),0.11650000000000005)</f>
        <v>0.1165</v>
      </c>
      <c r="B24" s="12"/>
      <c r="C24" s="83"/>
      <c r="D24" s="84" t="str">
        <f>IFERROR(__xludf.DUMMYFUNCTION("""COMPUTED_VALUE"""),"AND")</f>
        <v>AND</v>
      </c>
      <c r="E24" s="85" t="str">
        <f>IFERROR(__xludf.DUMMYFUNCTION("""COMPUTED_VALUE"""),"F1-b1(t)")</f>
        <v>F1-b1(t)</v>
      </c>
      <c r="F24" s="77" t="str">
        <f>IFERROR(__xludf.DUMMYFUNCTION("""COMPUTED_VALUE"""),"充電電壓設定不當")</f>
        <v>充電電壓設定不當</v>
      </c>
      <c r="G24" s="73"/>
      <c r="H24" s="73"/>
      <c r="I24" s="73"/>
      <c r="J24" s="73"/>
      <c r="K24" s="73"/>
      <c r="L24" s="78"/>
      <c r="M24" s="78"/>
      <c r="N24" s="78"/>
      <c r="O24" s="73"/>
      <c r="P24" s="76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3.75" customHeight="1">
      <c r="A25" s="11"/>
      <c r="B25" s="21"/>
      <c r="C25" s="84"/>
      <c r="D25" s="12"/>
      <c r="E25" s="21"/>
      <c r="F25" s="12"/>
      <c r="G25" s="73"/>
      <c r="H25" s="73"/>
      <c r="I25" s="73"/>
      <c r="J25" s="73"/>
      <c r="K25" s="76"/>
      <c r="L25" s="73"/>
      <c r="M25" s="78"/>
      <c r="N25" s="78"/>
      <c r="O25" s="73"/>
      <c r="P25" s="76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3.75" customHeight="1">
      <c r="A26" s="73"/>
      <c r="B26" s="73"/>
      <c r="C26" s="73"/>
      <c r="D26" s="12"/>
      <c r="E26" s="92">
        <f>IFERROR(__xludf.DUMMYFUNCTION("""COMPUTED_VALUE"""),0.014912000000000019)</f>
        <v>0.014912</v>
      </c>
      <c r="F26" s="12"/>
      <c r="G26" s="84"/>
      <c r="H26" s="73"/>
      <c r="I26" s="73"/>
      <c r="J26" s="73"/>
      <c r="K26" s="76"/>
      <c r="L26" s="73"/>
      <c r="M26" s="78"/>
      <c r="N26" s="78"/>
      <c r="O26" s="73"/>
      <c r="P26" s="76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3.75" customHeight="1">
      <c r="A27" s="76" t="str">
        <f>IFERROR(__xludf.DUMMYFUNCTION("""COMPUTED_VALUE"""),"F1-b1-2(t)")</f>
        <v>F1-b1-2(t)</v>
      </c>
      <c r="B27" s="77" t="str">
        <f>IFERROR(__xludf.DUMMYFUNCTION("""COMPUTED_VALUE"""),"充電電流控制器故障")</f>
        <v>充電電流控制器故障</v>
      </c>
      <c r="C27" s="83"/>
      <c r="D27" s="12"/>
      <c r="E27" s="11"/>
      <c r="F27" s="21"/>
      <c r="G27" s="93"/>
      <c r="H27" s="73"/>
      <c r="I27" s="73"/>
      <c r="J27" s="73"/>
      <c r="K27" s="76"/>
      <c r="L27" s="73"/>
      <c r="M27" s="78"/>
      <c r="N27" s="78"/>
      <c r="O27" s="73"/>
      <c r="P27" s="76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3.75" customHeight="1">
      <c r="A28" s="11"/>
      <c r="B28" s="12"/>
      <c r="C28" s="84"/>
      <c r="D28" s="21"/>
      <c r="E28" s="73"/>
      <c r="F28" s="73"/>
      <c r="G28" s="76"/>
      <c r="H28" s="73"/>
      <c r="I28" s="84" t="str">
        <f>IFERROR(__xludf.DUMMYFUNCTION("""COMPUTED_VALUE"""),"AND")</f>
        <v>AND</v>
      </c>
      <c r="J28" s="73"/>
      <c r="K28" s="76"/>
      <c r="L28" s="76"/>
      <c r="M28" s="73"/>
      <c r="N28" s="78"/>
      <c r="O28" s="73"/>
      <c r="P28" s="76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3.75" customHeight="1">
      <c r="A29" s="82">
        <f>IFERROR(__xludf.DUMMYFUNCTION("""COMPUTED_VALUE"""),0.1280000000000001)</f>
        <v>0.128</v>
      </c>
      <c r="B29" s="12"/>
      <c r="C29" s="78"/>
      <c r="D29" s="73"/>
      <c r="E29" s="73"/>
      <c r="F29" s="73"/>
      <c r="G29" s="76"/>
      <c r="H29" s="95"/>
      <c r="I29" s="12"/>
      <c r="J29" s="73"/>
      <c r="K29" s="95"/>
      <c r="L29" s="76"/>
      <c r="M29" s="73"/>
      <c r="N29" s="78"/>
      <c r="O29" s="73"/>
      <c r="P29" s="76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3.75" customHeight="1">
      <c r="A30" s="11"/>
      <c r="B30" s="21"/>
      <c r="C30" s="78"/>
      <c r="D30" s="73"/>
      <c r="E30" s="73"/>
      <c r="F30" s="73"/>
      <c r="G30" s="76"/>
      <c r="H30" s="98"/>
      <c r="I30" s="12"/>
      <c r="J30" s="86"/>
      <c r="K30" s="73"/>
      <c r="L30" s="76"/>
      <c r="M30" s="73"/>
      <c r="N30" s="78"/>
      <c r="O30" s="73"/>
      <c r="P30" s="76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3.75" customHeight="1">
      <c r="A31" s="100"/>
      <c r="B31" s="101"/>
      <c r="C31" s="73"/>
      <c r="D31" s="73"/>
      <c r="E31" s="73"/>
      <c r="F31" s="73"/>
      <c r="G31" s="76"/>
      <c r="H31" s="73"/>
      <c r="I31" s="12"/>
      <c r="J31" s="73"/>
      <c r="K31" s="73"/>
      <c r="L31" s="76"/>
      <c r="M31" s="73"/>
      <c r="N31" s="78"/>
      <c r="O31" s="73"/>
      <c r="P31" s="76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3.75" customHeight="1">
      <c r="A32" s="76" t="str">
        <f>IFERROR(__xludf.DUMMYFUNCTION("""COMPUTED_VALUE"""),"F1-b2-1(t)")</f>
        <v>F1-b2-1(t)</v>
      </c>
      <c r="B32" s="77" t="str">
        <f>IFERROR(__xludf.DUMMYFUNCTION("""COMPUTED_VALUE"""),"過電流保護設定不當")</f>
        <v>過電流保護設定不當</v>
      </c>
      <c r="C32" s="78"/>
      <c r="D32" s="73"/>
      <c r="E32" s="73"/>
      <c r="F32" s="73"/>
      <c r="G32" s="76"/>
      <c r="H32" s="73"/>
      <c r="I32" s="21"/>
      <c r="J32" s="73"/>
      <c r="K32" s="73"/>
      <c r="L32" s="76"/>
      <c r="M32" s="73"/>
      <c r="N32" s="78"/>
      <c r="O32" s="73"/>
      <c r="P32" s="76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3.75" customHeight="1">
      <c r="A33" s="11"/>
      <c r="B33" s="12"/>
      <c r="C33" s="78"/>
      <c r="D33" s="73"/>
      <c r="E33" s="73"/>
      <c r="F33" s="101"/>
      <c r="G33" s="105"/>
      <c r="H33" s="73"/>
      <c r="I33" s="73"/>
      <c r="J33" s="73"/>
      <c r="K33" s="73"/>
      <c r="L33" s="76"/>
      <c r="M33" s="73"/>
      <c r="N33" s="78"/>
      <c r="O33" s="73"/>
      <c r="P33" s="76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3.75" customHeight="1">
      <c r="A34" s="82">
        <f>IFERROR(__xludf.DUMMYFUNCTION("""COMPUTED_VALUE"""),0.132)</f>
        <v>0.132</v>
      </c>
      <c r="B34" s="12"/>
      <c r="C34" s="83"/>
      <c r="D34" s="84" t="str">
        <f>IFERROR(__xludf.DUMMYFUNCTION("""COMPUTED_VALUE"""),"AND")</f>
        <v>AND</v>
      </c>
      <c r="E34" s="85" t="str">
        <f>IFERROR(__xludf.DUMMYFUNCTION("""COMPUTED_VALUE"""),"F1-b2(t)")</f>
        <v>F1-b2(t)</v>
      </c>
      <c r="F34" s="77" t="str">
        <f>IFERROR(__xludf.DUMMYFUNCTION("""COMPUTED_VALUE"""),"充電電壓設定不當")</f>
        <v>充電電壓設定不當</v>
      </c>
      <c r="G34" s="93"/>
      <c r="H34" s="73"/>
      <c r="I34" s="73"/>
      <c r="J34" s="73"/>
      <c r="K34" s="73"/>
      <c r="L34" s="76"/>
      <c r="M34" s="73"/>
      <c r="N34" s="78"/>
      <c r="O34" s="73"/>
      <c r="P34" s="76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3.75" customHeight="1">
      <c r="A35" s="11"/>
      <c r="B35" s="21"/>
      <c r="C35" s="84"/>
      <c r="D35" s="12"/>
      <c r="E35" s="21"/>
      <c r="F35" s="12"/>
      <c r="G35" s="83"/>
      <c r="H35" s="73"/>
      <c r="I35" s="73"/>
      <c r="J35" s="73"/>
      <c r="K35" s="73"/>
      <c r="L35" s="76"/>
      <c r="M35" s="73"/>
      <c r="N35" s="78"/>
      <c r="O35" s="73"/>
      <c r="P35" s="76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3.75" customHeight="1">
      <c r="A36" s="91"/>
      <c r="B36" s="73"/>
      <c r="C36" s="73"/>
      <c r="D36" s="12"/>
      <c r="E36" s="92">
        <f>IFERROR(__xludf.DUMMYFUNCTION("""COMPUTED_VALUE"""),0.015048000000000014)</f>
        <v>0.015048</v>
      </c>
      <c r="F36" s="12"/>
      <c r="G36" s="73"/>
      <c r="H36" s="73"/>
      <c r="I36" s="73"/>
      <c r="J36" s="73"/>
      <c r="K36" s="73"/>
      <c r="L36" s="76"/>
      <c r="M36" s="73"/>
      <c r="N36" s="78"/>
      <c r="O36" s="73"/>
      <c r="P36" s="76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3.75" customHeight="1">
      <c r="A37" s="76" t="str">
        <f>IFERROR(__xludf.DUMMYFUNCTION("""COMPUTED_VALUE"""),"F1-b2-2(t)")</f>
        <v>F1-b2-2(t)</v>
      </c>
      <c r="B37" s="77" t="str">
        <f>IFERROR(__xludf.DUMMYFUNCTION("""COMPUTED_VALUE"""),"過電流保護裝置故障")</f>
        <v>過電流保護裝置故障</v>
      </c>
      <c r="C37" s="83"/>
      <c r="D37" s="12"/>
      <c r="E37" s="11"/>
      <c r="F37" s="21"/>
      <c r="G37" s="73"/>
      <c r="H37" s="73"/>
      <c r="I37" s="73"/>
      <c r="J37" s="73"/>
      <c r="K37" s="73"/>
      <c r="L37" s="76"/>
      <c r="M37" s="73"/>
      <c r="N37" s="78"/>
      <c r="O37" s="73"/>
      <c r="P37" s="76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3.75" customHeight="1">
      <c r="A38" s="11"/>
      <c r="B38" s="12"/>
      <c r="C38" s="84"/>
      <c r="D38" s="21"/>
      <c r="E38" s="73"/>
      <c r="F38" s="73"/>
      <c r="G38" s="73"/>
      <c r="H38" s="73"/>
      <c r="I38" s="73"/>
      <c r="J38" s="73"/>
      <c r="K38" s="73"/>
      <c r="L38" s="76"/>
      <c r="M38" s="73"/>
      <c r="N38" s="78"/>
      <c r="O38" s="73"/>
      <c r="P38" s="76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3.75" customHeight="1">
      <c r="A39" s="82">
        <f>IFERROR(__xludf.DUMMYFUNCTION("""COMPUTED_VALUE"""),0.1140000000000001)</f>
        <v>0.114</v>
      </c>
      <c r="B39" s="12"/>
      <c r="C39" s="78"/>
      <c r="D39" s="73"/>
      <c r="E39" s="73"/>
      <c r="F39" s="73"/>
      <c r="G39" s="73"/>
      <c r="H39" s="73"/>
      <c r="I39" s="73"/>
      <c r="J39" s="73"/>
      <c r="K39" s="73"/>
      <c r="L39" s="76"/>
      <c r="M39" s="76"/>
      <c r="N39" s="73"/>
      <c r="O39" s="73"/>
      <c r="P39" s="76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3.75" customHeight="1">
      <c r="A40" s="11"/>
      <c r="B40" s="21"/>
      <c r="C40" s="78"/>
      <c r="D40" s="73"/>
      <c r="E40" s="73"/>
      <c r="F40" s="73"/>
      <c r="G40" s="73"/>
      <c r="H40" s="73"/>
      <c r="I40" s="73"/>
      <c r="J40" s="73"/>
      <c r="K40" s="73"/>
      <c r="L40" s="76"/>
      <c r="M40" s="76"/>
      <c r="N40" s="73"/>
      <c r="O40" s="73"/>
      <c r="P40" s="76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3.75" customHeight="1">
      <c r="A41" s="107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6"/>
      <c r="M41" s="76"/>
      <c r="N41" s="73"/>
      <c r="O41" s="73"/>
      <c r="P41" s="76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3.75" customHeight="1">
      <c r="A42" s="76" t="str">
        <f>IFERROR(__xludf.DUMMYFUNCTION("""COMPUTED_VALUE"""),"F1-c1-1(t)")</f>
        <v>F1-c1-1(t)</v>
      </c>
      <c r="B42" s="77" t="str">
        <f>IFERROR(__xludf.DUMMYFUNCTION("""COMPUTED_VALUE"""),"充電上限設定不當")</f>
        <v>充電上限設定不當</v>
      </c>
      <c r="C42" s="78"/>
      <c r="D42" s="73"/>
      <c r="E42" s="73"/>
      <c r="F42" s="73"/>
      <c r="G42" s="73"/>
      <c r="H42" s="73"/>
      <c r="I42" s="73"/>
      <c r="J42" s="73"/>
      <c r="K42" s="73"/>
      <c r="L42" s="76"/>
      <c r="M42" s="76"/>
      <c r="N42" s="73"/>
      <c r="O42" s="73"/>
      <c r="P42" s="76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3.75" customHeight="1">
      <c r="A43" s="11"/>
      <c r="B43" s="12"/>
      <c r="C43" s="78"/>
      <c r="D43" s="73"/>
      <c r="E43" s="73"/>
      <c r="F43" s="73"/>
      <c r="G43" s="73"/>
      <c r="H43" s="73"/>
      <c r="I43" s="73"/>
      <c r="J43" s="73"/>
      <c r="K43" s="73"/>
      <c r="L43" s="76"/>
      <c r="M43" s="76"/>
      <c r="N43" s="73"/>
      <c r="O43" s="73"/>
      <c r="P43" s="76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3.75" customHeight="1">
      <c r="A44" s="82">
        <f>IFERROR(__xludf.DUMMYFUNCTION("""COMPUTED_VALUE"""),0.11650000000000005)</f>
        <v>0.1165</v>
      </c>
      <c r="B44" s="12"/>
      <c r="C44" s="83"/>
      <c r="D44" s="84" t="str">
        <f>IFERROR(__xludf.DUMMYFUNCTION("""COMPUTED_VALUE"""),"AND")</f>
        <v>AND</v>
      </c>
      <c r="E44" s="85" t="str">
        <f>IFERROR(__xludf.DUMMYFUNCTION("""COMPUTED_VALUE"""),"F1-c1(t)")</f>
        <v>F1-c1(t)</v>
      </c>
      <c r="F44" s="77" t="str">
        <f>IFERROR(__xludf.DUMMYFUNCTION("""COMPUTED_VALUE"""),"充電電壓設定不當")</f>
        <v>充電電壓設定不當</v>
      </c>
      <c r="G44" s="73"/>
      <c r="H44" s="73"/>
      <c r="I44" s="73"/>
      <c r="J44" s="73"/>
      <c r="K44" s="73"/>
      <c r="L44" s="76"/>
      <c r="M44" s="76"/>
      <c r="N44" s="73"/>
      <c r="O44" s="73"/>
      <c r="P44" s="76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3.75" customHeight="1">
      <c r="A45" s="11"/>
      <c r="B45" s="21"/>
      <c r="C45" s="84"/>
      <c r="D45" s="12"/>
      <c r="E45" s="21"/>
      <c r="F45" s="12"/>
      <c r="G45" s="73"/>
      <c r="H45" s="73"/>
      <c r="I45" s="73"/>
      <c r="J45" s="73"/>
      <c r="K45" s="73"/>
      <c r="L45" s="76"/>
      <c r="M45" s="76"/>
      <c r="N45" s="73"/>
      <c r="O45" s="73"/>
      <c r="P45" s="76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3.75" customHeight="1">
      <c r="A46" s="91"/>
      <c r="B46" s="73"/>
      <c r="C46" s="73"/>
      <c r="D46" s="12"/>
      <c r="E46" s="92">
        <f>IFERROR(__xludf.DUMMYFUNCTION("""COMPUTED_VALUE"""),0.014912000000000019)</f>
        <v>0.014912</v>
      </c>
      <c r="F46" s="12"/>
      <c r="G46" s="84"/>
      <c r="H46" s="73"/>
      <c r="I46" s="73"/>
      <c r="J46" s="73"/>
      <c r="K46" s="73"/>
      <c r="L46" s="76"/>
      <c r="M46" s="76"/>
      <c r="N46" s="73"/>
      <c r="O46" s="73"/>
      <c r="P46" s="76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3.75" customHeight="1">
      <c r="A47" s="76" t="str">
        <f>IFERROR(__xludf.DUMMYFUNCTION("""COMPUTED_VALUE"""),"F1-c1-2(t)")</f>
        <v>F1-c1-2(t)</v>
      </c>
      <c r="B47" s="77" t="str">
        <f>IFERROR(__xludf.DUMMYFUNCTION("""COMPUTED_VALUE"""),"充電上限控制器故障")</f>
        <v>充電上限控制器故障</v>
      </c>
      <c r="C47" s="83"/>
      <c r="D47" s="12"/>
      <c r="E47" s="11"/>
      <c r="F47" s="21"/>
      <c r="G47" s="93"/>
      <c r="H47" s="73"/>
      <c r="I47" s="73"/>
      <c r="J47" s="73"/>
      <c r="K47" s="73"/>
      <c r="L47" s="76"/>
      <c r="M47" s="76"/>
      <c r="N47" s="73"/>
      <c r="O47" s="73"/>
      <c r="P47" s="76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3.75" customHeight="1">
      <c r="A48" s="11"/>
      <c r="B48" s="12"/>
      <c r="C48" s="84"/>
      <c r="D48" s="21"/>
      <c r="E48" s="73"/>
      <c r="F48" s="73"/>
      <c r="G48" s="76"/>
      <c r="H48" s="73"/>
      <c r="I48" s="84" t="str">
        <f>IFERROR(__xludf.DUMMYFUNCTION("""COMPUTED_VALUE"""),"AND")</f>
        <v>AND</v>
      </c>
      <c r="J48" s="73"/>
      <c r="K48" s="73"/>
      <c r="L48" s="76"/>
      <c r="M48" s="76"/>
      <c r="N48" s="73"/>
      <c r="O48" s="73"/>
      <c r="P48" s="76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3.75" customHeight="1">
      <c r="A49" s="82">
        <f>IFERROR(__xludf.DUMMYFUNCTION("""COMPUTED_VALUE"""),0.1280000000000001)</f>
        <v>0.128</v>
      </c>
      <c r="B49" s="12"/>
      <c r="C49" s="78"/>
      <c r="D49" s="73"/>
      <c r="E49" s="73"/>
      <c r="F49" s="73"/>
      <c r="G49" s="76"/>
      <c r="H49" s="95"/>
      <c r="I49" s="12"/>
      <c r="J49" s="73"/>
      <c r="K49" s="108"/>
      <c r="L49" s="95"/>
      <c r="M49" s="76"/>
      <c r="N49" s="73"/>
      <c r="O49" s="73"/>
      <c r="P49" s="76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3.75" customHeight="1">
      <c r="A50" s="11"/>
      <c r="B50" s="21"/>
      <c r="C50" s="78"/>
      <c r="D50" s="73"/>
      <c r="E50" s="73"/>
      <c r="F50" s="73"/>
      <c r="G50" s="76"/>
      <c r="H50" s="98"/>
      <c r="I50" s="12"/>
      <c r="J50" s="86"/>
      <c r="K50" s="73"/>
      <c r="L50" s="73"/>
      <c r="M50" s="76"/>
      <c r="N50" s="73"/>
      <c r="O50" s="73"/>
      <c r="P50" s="76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3.75" customHeight="1">
      <c r="A51" s="100"/>
      <c r="B51" s="101"/>
      <c r="C51" s="73"/>
      <c r="D51" s="73"/>
      <c r="E51" s="73"/>
      <c r="F51" s="73"/>
      <c r="G51" s="76"/>
      <c r="H51" s="73"/>
      <c r="I51" s="12"/>
      <c r="J51" s="73"/>
      <c r="K51" s="73"/>
      <c r="L51" s="73"/>
      <c r="M51" s="76"/>
      <c r="N51" s="73"/>
      <c r="O51" s="73"/>
      <c r="P51" s="76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3.75" customHeight="1">
      <c r="A52" s="76" t="str">
        <f>IFERROR(__xludf.DUMMYFUNCTION("""COMPUTED_VALUE"""),"F1-c2-1(t)")</f>
        <v>F1-c2-1(t)</v>
      </c>
      <c r="B52" s="77" t="str">
        <f>IFERROR(__xludf.DUMMYFUNCTION("""COMPUTED_VALUE"""),"過充電保護設定不當")</f>
        <v>過充電保護設定不當</v>
      </c>
      <c r="C52" s="78"/>
      <c r="D52" s="73"/>
      <c r="E52" s="73"/>
      <c r="F52" s="73"/>
      <c r="G52" s="76"/>
      <c r="H52" s="73"/>
      <c r="I52" s="21"/>
      <c r="J52" s="73"/>
      <c r="K52" s="73"/>
      <c r="L52" s="73"/>
      <c r="M52" s="76"/>
      <c r="N52" s="73"/>
      <c r="O52" s="73"/>
      <c r="P52" s="76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3.75" customHeight="1">
      <c r="A53" s="11"/>
      <c r="B53" s="12"/>
      <c r="C53" s="78"/>
      <c r="D53" s="73"/>
      <c r="E53" s="73"/>
      <c r="F53" s="101"/>
      <c r="G53" s="105"/>
      <c r="H53" s="73"/>
      <c r="I53" s="73"/>
      <c r="J53" s="73"/>
      <c r="K53" s="73"/>
      <c r="L53" s="73"/>
      <c r="M53" s="76"/>
      <c r="N53" s="73"/>
      <c r="O53" s="73"/>
      <c r="P53" s="76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3.75" customHeight="1">
      <c r="A54" s="82">
        <f>IFERROR(__xludf.DUMMYFUNCTION("""COMPUTED_VALUE"""),0.132)</f>
        <v>0.132</v>
      </c>
      <c r="B54" s="12"/>
      <c r="C54" s="83"/>
      <c r="D54" s="84" t="str">
        <f>IFERROR(__xludf.DUMMYFUNCTION("""COMPUTED_VALUE"""),"AND")</f>
        <v>AND</v>
      </c>
      <c r="E54" s="85" t="str">
        <f>IFERROR(__xludf.DUMMYFUNCTION("""COMPUTED_VALUE"""),"F1-c2(t)")</f>
        <v>F1-c2(t)</v>
      </c>
      <c r="F54" s="77" t="str">
        <f>IFERROR(__xludf.DUMMYFUNCTION("""COMPUTED_VALUE"""),"充電電壓設定不當")</f>
        <v>充電電壓設定不當</v>
      </c>
      <c r="G54" s="93"/>
      <c r="H54" s="73"/>
      <c r="I54" s="73"/>
      <c r="J54" s="73"/>
      <c r="K54" s="73"/>
      <c r="L54" s="73"/>
      <c r="M54" s="76"/>
      <c r="N54" s="73"/>
      <c r="O54" s="73"/>
      <c r="P54" s="76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3.75" customHeight="1">
      <c r="A55" s="11"/>
      <c r="B55" s="21"/>
      <c r="C55" s="84"/>
      <c r="D55" s="12"/>
      <c r="E55" s="21"/>
      <c r="F55" s="12"/>
      <c r="G55" s="83"/>
      <c r="H55" s="73"/>
      <c r="I55" s="73"/>
      <c r="J55" s="73"/>
      <c r="K55" s="73"/>
      <c r="L55" s="73"/>
      <c r="M55" s="76"/>
      <c r="N55" s="73"/>
      <c r="O55" s="73"/>
      <c r="P55" s="76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3.75" customHeight="1">
      <c r="A56" s="73"/>
      <c r="B56" s="73"/>
      <c r="C56" s="73"/>
      <c r="D56" s="12"/>
      <c r="E56" s="92">
        <f>IFERROR(__xludf.DUMMYFUNCTION("""COMPUTED_VALUE"""),0.015840000000000014)</f>
        <v>0.01584</v>
      </c>
      <c r="F56" s="12"/>
      <c r="G56" s="73"/>
      <c r="H56" s="73"/>
      <c r="I56" s="73"/>
      <c r="J56" s="73"/>
      <c r="K56" s="73"/>
      <c r="L56" s="73"/>
      <c r="M56" s="76"/>
      <c r="N56" s="73"/>
      <c r="O56" s="73"/>
      <c r="P56" s="76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3.75" customHeight="1">
      <c r="A57" s="76" t="str">
        <f>IFERROR(__xludf.DUMMYFUNCTION("""COMPUTED_VALUE"""),"F1-c2-2(t)")</f>
        <v>F1-c2-2(t)</v>
      </c>
      <c r="B57" s="77" t="str">
        <f>IFERROR(__xludf.DUMMYFUNCTION("""COMPUTED_VALUE"""),"過充電保護裝置故障")</f>
        <v>過充電保護裝置故障</v>
      </c>
      <c r="C57" s="83"/>
      <c r="D57" s="12"/>
      <c r="E57" s="11"/>
      <c r="F57" s="21"/>
      <c r="G57" s="73"/>
      <c r="H57" s="73"/>
      <c r="I57" s="73"/>
      <c r="J57" s="73"/>
      <c r="K57" s="73"/>
      <c r="L57" s="73"/>
      <c r="M57" s="76"/>
      <c r="N57" s="73"/>
      <c r="O57" s="73"/>
      <c r="P57" s="76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3.75" customHeight="1">
      <c r="A58" s="11"/>
      <c r="B58" s="12"/>
      <c r="C58" s="84"/>
      <c r="D58" s="21"/>
      <c r="E58" s="73"/>
      <c r="F58" s="73"/>
      <c r="G58" s="73"/>
      <c r="H58" s="73"/>
      <c r="I58" s="73"/>
      <c r="J58" s="73"/>
      <c r="K58" s="73"/>
      <c r="L58" s="73"/>
      <c r="M58" s="76"/>
      <c r="N58" s="73"/>
      <c r="O58" s="73"/>
      <c r="P58" s="76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3.75" customHeight="1">
      <c r="A59" s="82">
        <f>IFERROR(__xludf.DUMMYFUNCTION("""COMPUTED_VALUE"""),0.1200000000000001)</f>
        <v>0.12</v>
      </c>
      <c r="B59" s="12"/>
      <c r="C59" s="78"/>
      <c r="D59" s="73"/>
      <c r="E59" s="73"/>
      <c r="F59" s="73"/>
      <c r="G59" s="73"/>
      <c r="H59" s="73"/>
      <c r="I59" s="73"/>
      <c r="J59" s="73"/>
      <c r="K59" s="73"/>
      <c r="L59" s="73"/>
      <c r="M59" s="76"/>
      <c r="N59" s="73"/>
      <c r="O59" s="73"/>
      <c r="P59" s="76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3.75" customHeight="1">
      <c r="A60" s="11"/>
      <c r="B60" s="21"/>
      <c r="C60" s="78"/>
      <c r="D60" s="73"/>
      <c r="E60" s="73"/>
      <c r="F60" s="73"/>
      <c r="G60" s="73"/>
      <c r="H60" s="73"/>
      <c r="I60" s="73"/>
      <c r="J60" s="73"/>
      <c r="K60" s="73"/>
      <c r="L60" s="73"/>
      <c r="M60" s="76"/>
      <c r="N60" s="73"/>
      <c r="O60" s="73"/>
      <c r="P60" s="76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3.75" customHeight="1">
      <c r="A61" s="109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6"/>
      <c r="N61" s="73"/>
      <c r="O61" s="73"/>
      <c r="P61" s="76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3.75" customHeight="1">
      <c r="A62" s="76" t="str">
        <f>IFERROR(__xludf.DUMMYFUNCTION("""COMPUTED_VALUE"""),"F1-d1-1(t)")</f>
        <v>F1-d1-1(t)</v>
      </c>
      <c r="B62" s="77" t="str">
        <f>IFERROR(__xludf.DUMMYFUNCTION("""COMPUTED_VALUE"""),"充電下限設定不當")</f>
        <v>充電下限設定不當</v>
      </c>
      <c r="C62" s="78"/>
      <c r="D62" s="73"/>
      <c r="E62" s="73"/>
      <c r="F62" s="73"/>
      <c r="G62" s="73"/>
      <c r="H62" s="73"/>
      <c r="I62" s="73"/>
      <c r="J62" s="73"/>
      <c r="K62" s="73"/>
      <c r="L62" s="73"/>
      <c r="M62" s="76"/>
      <c r="N62" s="73"/>
      <c r="O62" s="73"/>
      <c r="P62" s="76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3.75" customHeight="1">
      <c r="A63" s="11"/>
      <c r="B63" s="12"/>
      <c r="C63" s="78"/>
      <c r="D63" s="73"/>
      <c r="E63" s="73"/>
      <c r="F63" s="73"/>
      <c r="G63" s="73"/>
      <c r="H63" s="73"/>
      <c r="I63" s="73"/>
      <c r="J63" s="73"/>
      <c r="K63" s="73"/>
      <c r="L63" s="73"/>
      <c r="M63" s="76"/>
      <c r="N63" s="73"/>
      <c r="O63" s="73"/>
      <c r="P63" s="76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3.75" customHeight="1">
      <c r="A64" s="82">
        <f>IFERROR(__xludf.DUMMYFUNCTION("""COMPUTED_VALUE"""),0.11150000000000004)</f>
        <v>0.1115</v>
      </c>
      <c r="B64" s="12"/>
      <c r="C64" s="83"/>
      <c r="D64" s="84" t="str">
        <f>IFERROR(__xludf.DUMMYFUNCTION("""COMPUTED_VALUE"""),"AND")</f>
        <v>AND</v>
      </c>
      <c r="E64" s="85" t="str">
        <f>IFERROR(__xludf.DUMMYFUNCTION("""COMPUTED_VALUE"""),"F1-d1(t)")</f>
        <v>F1-d1(t)</v>
      </c>
      <c r="F64" s="77" t="str">
        <f>IFERROR(__xludf.DUMMYFUNCTION("""COMPUTED_VALUE"""),"充電電壓設定不當")</f>
        <v>充電電壓設定不當</v>
      </c>
      <c r="G64" s="73"/>
      <c r="H64" s="73"/>
      <c r="I64" s="73"/>
      <c r="J64" s="73"/>
      <c r="K64" s="73"/>
      <c r="L64" s="73"/>
      <c r="M64" s="76"/>
      <c r="N64" s="73"/>
      <c r="O64" s="73"/>
      <c r="P64" s="76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3.75" customHeight="1">
      <c r="A65" s="11"/>
      <c r="B65" s="21"/>
      <c r="C65" s="84"/>
      <c r="D65" s="12"/>
      <c r="E65" s="21"/>
      <c r="F65" s="12"/>
      <c r="G65" s="73"/>
      <c r="H65" s="73"/>
      <c r="I65" s="73"/>
      <c r="J65" s="73"/>
      <c r="K65" s="73"/>
      <c r="L65" s="73"/>
      <c r="M65" s="76"/>
      <c r="N65" s="73"/>
      <c r="O65" s="73"/>
      <c r="P65" s="76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3.75" customHeight="1">
      <c r="A66" s="73"/>
      <c r="B66" s="73"/>
      <c r="C66" s="73"/>
      <c r="D66" s="12"/>
      <c r="E66" s="92">
        <f>IFERROR(__xludf.DUMMYFUNCTION("""COMPUTED_VALUE"""),0.014272000000000019)</f>
        <v>0.014272</v>
      </c>
      <c r="F66" s="12"/>
      <c r="G66" s="84"/>
      <c r="H66" s="73"/>
      <c r="I66" s="73"/>
      <c r="J66" s="73"/>
      <c r="K66" s="73"/>
      <c r="L66" s="73"/>
      <c r="M66" s="76"/>
      <c r="N66" s="73"/>
      <c r="O66" s="73"/>
      <c r="P66" s="76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3.75" customHeight="1">
      <c r="A67" s="76" t="str">
        <f>IFERROR(__xludf.DUMMYFUNCTION("""COMPUTED_VALUE"""),"F1-d1-2(t)")</f>
        <v>F1-d1-2(t)</v>
      </c>
      <c r="B67" s="77" t="str">
        <f>IFERROR(__xludf.DUMMYFUNCTION("""COMPUTED_VALUE"""),"充電下限控制器故障")</f>
        <v>充電下限控制器故障</v>
      </c>
      <c r="C67" s="83"/>
      <c r="D67" s="12"/>
      <c r="E67" s="11"/>
      <c r="F67" s="21"/>
      <c r="G67" s="93"/>
      <c r="H67" s="73"/>
      <c r="I67" s="73"/>
      <c r="J67" s="73"/>
      <c r="K67" s="73"/>
      <c r="L67" s="73"/>
      <c r="M67" s="76"/>
      <c r="N67" s="73"/>
      <c r="O67" s="73"/>
      <c r="P67" s="76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3.75" customHeight="1">
      <c r="A68" s="11"/>
      <c r="B68" s="12"/>
      <c r="C68" s="84"/>
      <c r="D68" s="21"/>
      <c r="E68" s="73"/>
      <c r="F68" s="73"/>
      <c r="G68" s="76"/>
      <c r="H68" s="73"/>
      <c r="I68" s="84" t="str">
        <f>IFERROR(__xludf.DUMMYFUNCTION("""COMPUTED_VALUE"""),"AND")</f>
        <v>AND</v>
      </c>
      <c r="J68" s="73"/>
      <c r="K68" s="73"/>
      <c r="L68" s="73"/>
      <c r="M68" s="76"/>
      <c r="N68" s="73"/>
      <c r="O68" s="73"/>
      <c r="P68" s="76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3.75" customHeight="1">
      <c r="A69" s="82">
        <f>IFERROR(__xludf.DUMMYFUNCTION("""COMPUTED_VALUE"""),0.1280000000000001)</f>
        <v>0.128</v>
      </c>
      <c r="B69" s="12"/>
      <c r="C69" s="78"/>
      <c r="D69" s="73"/>
      <c r="E69" s="73"/>
      <c r="F69" s="73"/>
      <c r="G69" s="76"/>
      <c r="H69" s="95"/>
      <c r="I69" s="12"/>
      <c r="J69" s="73"/>
      <c r="K69" s="108"/>
      <c r="L69" s="108"/>
      <c r="M69" s="95"/>
      <c r="N69" s="73"/>
      <c r="O69" s="73"/>
      <c r="P69" s="76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3.75" customHeight="1">
      <c r="A70" s="11"/>
      <c r="B70" s="21"/>
      <c r="C70" s="78"/>
      <c r="D70" s="73"/>
      <c r="E70" s="73"/>
      <c r="F70" s="73"/>
      <c r="G70" s="76"/>
      <c r="H70" s="98"/>
      <c r="I70" s="12"/>
      <c r="J70" s="86"/>
      <c r="K70" s="73"/>
      <c r="L70" s="73"/>
      <c r="M70" s="73"/>
      <c r="N70" s="73"/>
      <c r="O70" s="73"/>
      <c r="P70" s="76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3.75" customHeight="1">
      <c r="A71" s="102"/>
      <c r="B71" s="101"/>
      <c r="C71" s="73"/>
      <c r="D71" s="73"/>
      <c r="E71" s="73"/>
      <c r="F71" s="73"/>
      <c r="G71" s="76"/>
      <c r="H71" s="73"/>
      <c r="I71" s="12"/>
      <c r="J71" s="73"/>
      <c r="K71" s="73"/>
      <c r="L71" s="73"/>
      <c r="M71" s="73"/>
      <c r="N71" s="73"/>
      <c r="O71" s="73"/>
      <c r="P71" s="76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3.75" customHeight="1">
      <c r="A72" s="76" t="str">
        <f>IFERROR(__xludf.DUMMYFUNCTION("""COMPUTED_VALUE"""),"F1-d2-1(t)")</f>
        <v>F1-d2-1(t)</v>
      </c>
      <c r="B72" s="77" t="str">
        <f>IFERROR(__xludf.DUMMYFUNCTION("""COMPUTED_VALUE"""),"過放電保護設定不當")</f>
        <v>過放電保護設定不當</v>
      </c>
      <c r="C72" s="78"/>
      <c r="D72" s="73"/>
      <c r="E72" s="73"/>
      <c r="F72" s="73"/>
      <c r="G72" s="76"/>
      <c r="H72" s="73"/>
      <c r="I72" s="21"/>
      <c r="J72" s="73"/>
      <c r="K72" s="73"/>
      <c r="L72" s="73"/>
      <c r="M72" s="73"/>
      <c r="N72" s="73"/>
      <c r="O72" s="73"/>
      <c r="P72" s="76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3.75" customHeight="1">
      <c r="A73" s="11"/>
      <c r="B73" s="12"/>
      <c r="C73" s="78"/>
      <c r="D73" s="73"/>
      <c r="E73" s="73"/>
      <c r="F73" s="101"/>
      <c r="G73" s="105"/>
      <c r="H73" s="73"/>
      <c r="I73" s="73"/>
      <c r="J73" s="73"/>
      <c r="K73" s="73"/>
      <c r="L73" s="73"/>
      <c r="M73" s="73"/>
      <c r="N73" s="73"/>
      <c r="O73" s="73"/>
      <c r="P73" s="76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3.75" customHeight="1">
      <c r="A74" s="82">
        <f>IFERROR(__xludf.DUMMYFUNCTION("""COMPUTED_VALUE"""),0.14200000000000002)</f>
        <v>0.142</v>
      </c>
      <c r="B74" s="12"/>
      <c r="C74" s="83"/>
      <c r="D74" s="84" t="str">
        <f>IFERROR(__xludf.DUMMYFUNCTION("""COMPUTED_VALUE"""),"AND")</f>
        <v>AND</v>
      </c>
      <c r="E74" s="85" t="str">
        <f>IFERROR(__xludf.DUMMYFUNCTION("""COMPUTED_VALUE"""),"F1-d2(t)")</f>
        <v>F1-d2(t)</v>
      </c>
      <c r="F74" s="77" t="str">
        <f>IFERROR(__xludf.DUMMYFUNCTION("""COMPUTED_VALUE"""),"充電電壓設定不當")</f>
        <v>充電電壓設定不當</v>
      </c>
      <c r="G74" s="93"/>
      <c r="H74" s="73"/>
      <c r="I74" s="73"/>
      <c r="J74" s="73"/>
      <c r="K74" s="73"/>
      <c r="L74" s="73"/>
      <c r="M74" s="73"/>
      <c r="N74" s="73"/>
      <c r="O74" s="73"/>
      <c r="P74" s="76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3.75" customHeight="1">
      <c r="A75" s="11"/>
      <c r="B75" s="21"/>
      <c r="C75" s="84"/>
      <c r="D75" s="12"/>
      <c r="E75" s="21"/>
      <c r="F75" s="12"/>
      <c r="G75" s="83"/>
      <c r="H75" s="73"/>
      <c r="I75" s="73"/>
      <c r="J75" s="73"/>
      <c r="K75" s="73"/>
      <c r="L75" s="73"/>
      <c r="M75" s="73"/>
      <c r="N75" s="73"/>
      <c r="O75" s="73"/>
      <c r="P75" s="76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3.75" customHeight="1">
      <c r="A76" s="73"/>
      <c r="B76" s="73"/>
      <c r="C76" s="73"/>
      <c r="D76" s="12"/>
      <c r="E76" s="92">
        <f>IFERROR(__xludf.DUMMYFUNCTION("""COMPUTED_VALUE"""),0.017040000000000017)</f>
        <v>0.01704</v>
      </c>
      <c r="F76" s="12"/>
      <c r="G76" s="73"/>
      <c r="H76" s="73"/>
      <c r="I76" s="73"/>
      <c r="J76" s="73"/>
      <c r="K76" s="73"/>
      <c r="L76" s="73"/>
      <c r="M76" s="73"/>
      <c r="N76" s="73"/>
      <c r="O76" s="73"/>
      <c r="P76" s="76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3.75" customHeight="1">
      <c r="A77" s="76" t="str">
        <f>IFERROR(__xludf.DUMMYFUNCTION("""COMPUTED_VALUE"""),"F1-d2-2(t)")</f>
        <v>F1-d2-2(t)</v>
      </c>
      <c r="B77" s="77" t="str">
        <f>IFERROR(__xludf.DUMMYFUNCTION("""COMPUTED_VALUE"""),"過放電保護裝置故障")</f>
        <v>過放電保護裝置故障</v>
      </c>
      <c r="C77" s="83"/>
      <c r="D77" s="12"/>
      <c r="E77" s="11"/>
      <c r="F77" s="21"/>
      <c r="G77" s="73"/>
      <c r="H77" s="73"/>
      <c r="I77" s="73"/>
      <c r="J77" s="73"/>
      <c r="K77" s="73"/>
      <c r="L77" s="73"/>
      <c r="M77" s="73"/>
      <c r="N77" s="73"/>
      <c r="O77" s="73"/>
      <c r="P77" s="76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3.75" customHeight="1">
      <c r="A78" s="11"/>
      <c r="B78" s="12"/>
      <c r="C78" s="84"/>
      <c r="D78" s="21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6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3.75" customHeight="1">
      <c r="A79" s="82">
        <f>IFERROR(__xludf.DUMMYFUNCTION("""COMPUTED_VALUE"""),0.1200000000000001)</f>
        <v>0.12</v>
      </c>
      <c r="B79" s="12"/>
      <c r="C79" s="78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6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3.75" customHeight="1">
      <c r="A80" s="11"/>
      <c r="B80" s="21"/>
      <c r="C80" s="78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6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3.75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6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3.75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6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3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3.75" customHeight="1">
      <c r="A84" s="73"/>
      <c r="B84" s="73"/>
      <c r="C84" s="73"/>
      <c r="D84" s="73"/>
      <c r="E84" s="103" t="str">
        <f>IFERROR(__xludf.DUMMYFUNCTION("""COMPUTED_VALUE"""),"F1-e1(t)")</f>
        <v>F1-e1(t)</v>
      </c>
      <c r="F84" s="79" t="str">
        <f>IFERROR(__xludf.DUMMYFUNCTION("""COMPUTED_VALUE"""),"電芯內部電阻異常")</f>
        <v>電芯內部電阻異常</v>
      </c>
      <c r="G84" s="73"/>
      <c r="H84" s="73"/>
      <c r="I84" s="73"/>
      <c r="J84" s="73"/>
      <c r="K84" s="73"/>
      <c r="L84" s="73"/>
      <c r="M84" s="73"/>
      <c r="N84" s="73"/>
      <c r="O84" s="73"/>
      <c r="P84" s="76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3.75" customHeight="1">
      <c r="A85" s="73"/>
      <c r="B85" s="73"/>
      <c r="C85" s="73"/>
      <c r="D85" s="73"/>
      <c r="E85" s="11"/>
      <c r="F85" s="12"/>
      <c r="G85" s="73"/>
      <c r="H85" s="73"/>
      <c r="I85" s="73"/>
      <c r="J85" s="73"/>
      <c r="K85" s="73"/>
      <c r="L85" s="73"/>
      <c r="M85" s="73"/>
      <c r="N85" s="73"/>
      <c r="O85" s="73"/>
      <c r="P85" s="76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3.75" customHeight="1">
      <c r="A86" s="73"/>
      <c r="B86" s="73"/>
      <c r="C86" s="73"/>
      <c r="D86" s="73"/>
      <c r="E86" s="82">
        <f>IFERROR(__xludf.DUMMYFUNCTION("""COMPUTED_VALUE"""),0.125)</f>
        <v>0.125</v>
      </c>
      <c r="F86" s="12"/>
      <c r="G86" s="84"/>
      <c r="H86" s="73"/>
      <c r="I86" s="73"/>
      <c r="J86" s="73"/>
      <c r="K86" s="73"/>
      <c r="L86" s="73"/>
      <c r="M86" s="73"/>
      <c r="N86" s="73"/>
      <c r="O86" s="73"/>
      <c r="P86" s="76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3.75" customHeight="1">
      <c r="A87" s="73"/>
      <c r="B87" s="73"/>
      <c r="C87" s="73"/>
      <c r="D87" s="73"/>
      <c r="E87" s="11"/>
      <c r="F87" s="21"/>
      <c r="G87" s="93"/>
      <c r="H87" s="73"/>
      <c r="I87" s="73"/>
      <c r="J87" s="73"/>
      <c r="K87" s="73"/>
      <c r="L87" s="73"/>
      <c r="M87" s="73"/>
      <c r="N87" s="73"/>
      <c r="O87" s="73"/>
      <c r="P87" s="76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3.75" customHeight="1">
      <c r="A88" s="73"/>
      <c r="B88" s="73"/>
      <c r="C88" s="73"/>
      <c r="D88" s="73"/>
      <c r="E88" s="73"/>
      <c r="F88" s="73"/>
      <c r="G88" s="76"/>
      <c r="H88" s="73"/>
      <c r="I88" s="84" t="str">
        <f>IFERROR(__xludf.DUMMYFUNCTION("""COMPUTED_VALUE"""),"AND")</f>
        <v>AND</v>
      </c>
      <c r="J88" s="73"/>
      <c r="K88" s="73"/>
      <c r="L88" s="73"/>
      <c r="M88" s="73"/>
      <c r="N88" s="73"/>
      <c r="O88" s="73"/>
      <c r="P88" s="76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3.75" customHeight="1">
      <c r="A89" s="73"/>
      <c r="B89" s="73"/>
      <c r="C89" s="73"/>
      <c r="D89" s="73"/>
      <c r="E89" s="73"/>
      <c r="F89" s="73"/>
      <c r="G89" s="76"/>
      <c r="H89" s="95"/>
      <c r="I89" s="12"/>
      <c r="J89" s="73"/>
      <c r="K89" s="108"/>
      <c r="L89" s="108"/>
      <c r="M89" s="108"/>
      <c r="N89" s="108"/>
      <c r="O89" s="108"/>
      <c r="P89" s="95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3.75" customHeight="1">
      <c r="A90" s="73"/>
      <c r="B90" s="73"/>
      <c r="C90" s="73"/>
      <c r="D90" s="73"/>
      <c r="E90" s="73"/>
      <c r="F90" s="73"/>
      <c r="G90" s="76"/>
      <c r="H90" s="98"/>
      <c r="I90" s="12"/>
      <c r="J90" s="86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3.75" customHeight="1">
      <c r="A91" s="73"/>
      <c r="B91" s="73"/>
      <c r="C91" s="73"/>
      <c r="D91" s="73"/>
      <c r="E91" s="103" t="str">
        <f>IFERROR(__xludf.DUMMYFUNCTION("""COMPUTED_VALUE"""),"F1-e2(t)")</f>
        <v>F1-e2(t)</v>
      </c>
      <c r="F91" s="79" t="str">
        <f>IFERROR(__xludf.DUMMYFUNCTION("""COMPUTED_VALUE"""),"電池散熱裝置故障")</f>
        <v>電池散熱裝置故障</v>
      </c>
      <c r="G91" s="93"/>
      <c r="H91" s="73"/>
      <c r="I91" s="12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3.75" customHeight="1">
      <c r="A92" s="73"/>
      <c r="B92" s="73"/>
      <c r="C92" s="73"/>
      <c r="D92" s="73"/>
      <c r="E92" s="11"/>
      <c r="F92" s="12"/>
      <c r="G92" s="83"/>
      <c r="H92" s="73"/>
      <c r="I92" s="21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3.75" customHeight="1">
      <c r="A93" s="73"/>
      <c r="B93" s="73"/>
      <c r="C93" s="73"/>
      <c r="D93" s="73"/>
      <c r="E93" s="82">
        <f>IFERROR(__xludf.DUMMYFUNCTION("""COMPUTED_VALUE"""),0.10400000000000009)</f>
        <v>0.104</v>
      </c>
      <c r="F93" s="12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3.75" customHeight="1">
      <c r="A94" s="73"/>
      <c r="B94" s="73"/>
      <c r="C94" s="73"/>
      <c r="D94" s="73"/>
      <c r="E94" s="11"/>
      <c r="F94" s="21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3.75" customHeight="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3.75" customHeight="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3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3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3.7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3.75" customHeight="1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3.75" customHeight="1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3.75" customHeight="1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3.75" customHeight="1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3.75" customHeight="1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3.75" customHeight="1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3.75" customHeight="1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3.75" customHeight="1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3.75" customHeight="1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3.75" customHeight="1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3.75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3.75" customHeight="1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3.75" customHeight="1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3.75" customHeight="1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3.75" customHeight="1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3.75" customHeigh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3.75" customHeight="1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3.75" customHeight="1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3.75" customHeight="1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3.75" customHeight="1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3.75" customHeight="1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3.75" customHeight="1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3.75" customHeight="1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3.75" customHeight="1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3.75" customHeight="1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3.75" customHeight="1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3.75" customHeight="1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3.75" customHeight="1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3.75" customHeight="1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3.75" customHeight="1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3.75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3.75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3.75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3.75" customHeight="1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3.75" customHeight="1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5.25" customHeight="1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5.25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5.25" customHeight="1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5.25" customHeight="1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5.25" customHeight="1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5.25" customHeight="1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5.25" customHeigh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5.25" customHeight="1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5.25" customHeight="1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5.25" customHeight="1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5.25" customHeight="1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5.25" customHeight="1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5.25" customHeight="1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5.25" customHeight="1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5.25" customHeight="1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5.25" customHeight="1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5.25" customHeight="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5.25" customHeight="1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5.25" customHeight="1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5.25" customHeight="1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5.25" customHeight="1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5.25" customHeight="1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5.25" customHeight="1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5.25" customHeight="1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5.25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5.25" customHeight="1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5.25" customHeight="1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5.25" customHeight="1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5.25" customHeight="1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5.25" customHeight="1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5.25" customHeight="1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5.25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5.25" customHeight="1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5.25" customHeight="1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5.25" customHeight="1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5.25" customHeight="1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5.25" customHeight="1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5.25" customHeight="1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5.25" customHeight="1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5.25" customHeight="1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5.25" customHeight="1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5.25" customHeight="1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5.25" customHeight="1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5.25" customHeight="1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5.25" customHeight="1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5.25" customHeight="1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5.25" customHeight="1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5.25" customHeight="1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5.25" customHeight="1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5.25" customHeight="1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5.25" customHeight="1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5.25" customHeight="1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5.25" customHeight="1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5.25" customHeight="1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5.25" customHeight="1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5.25" customHeight="1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5.25" customHeight="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5.25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5.25" customHeight="1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5.25" customHeight="1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5.25" customHeight="1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5.25" customHeight="1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5.25" customHeight="1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5.25" customHeight="1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5.25" customHeight="1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5.25" customHeight="1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5.25" customHeight="1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5.25" customHeight="1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5.25" customHeight="1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5.25" customHeight="1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5.25" customHeight="1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5.25" customHeight="1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5.25" customHeight="1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5.25" customHeight="1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5.25" customHeight="1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5.25" customHeight="1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5.25" customHeight="1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5.25" customHeight="1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5.25" customHeight="1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5.25" customHeight="1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5.25" customHeight="1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5.25" customHeight="1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5.25" customHeight="1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5.25" customHeight="1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5.25" customHeight="1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5.25" customHeight="1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5.25" customHeight="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5.25" customHeight="1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5.25" customHeight="1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5.25" customHeight="1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ht="5.25" customHeight="1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ht="5.25" customHeight="1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ht="5.25" customHeight="1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ht="5.25" customHeight="1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ht="5.25" customHeight="1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ht="5.25" customHeight="1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ht="5.25" customHeight="1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ht="5.25" customHeight="1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ht="5.25" customHeight="1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ht="5.25" customHeight="1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ht="5.25" customHeight="1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ht="5.25" customHeight="1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ht="5.25" customHeight="1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ht="5.25" customHeight="1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ht="5.25" customHeight="1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ht="5.25" customHeight="1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ht="5.25" customHeight="1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ht="5.25" customHeight="1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ht="5.25" customHeight="1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ht="5.25" customHeight="1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ht="5.25" customHeight="1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ht="5.25" customHeight="1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ht="5.25" customHeight="1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ht="5.25" customHeight="1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ht="5.25" customHeight="1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ht="5.25" customHeight="1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ht="5.25" customHeight="1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ht="5.25" customHeight="1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ht="5.25" customHeight="1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ht="5.25" customHeight="1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ht="5.25" customHeight="1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ht="5.25" customHeight="1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ht="5.25" customHeight="1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ht="5.25" customHeight="1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ht="5.25" customHeight="1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ht="5.25" customHeight="1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ht="5.25" customHeight="1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ht="5.25" customHeight="1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ht="5.25" customHeight="1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ht="5.25" customHeight="1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ht="5.25" customHeight="1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ht="5.25" customHeight="1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ht="5.25" customHeight="1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ht="5.25" customHeight="1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ht="5.25" customHeight="1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ht="5.25" customHeight="1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ht="5.25" customHeight="1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ht="5.25" customHeight="1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ht="5.25" customHeight="1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ht="5.25" customHeight="1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ht="5.25" customHeight="1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ht="5.25" customHeight="1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ht="5.25" customHeight="1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ht="5.25" customHeight="1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ht="5.25" customHeight="1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ht="5.25" customHeight="1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ht="5.25" customHeight="1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ht="5.25" customHeight="1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ht="5.25" customHeight="1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ht="5.25" customHeight="1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ht="5.25" customHeight="1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ht="5.25" customHeight="1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ht="5.25" customHeight="1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ht="5.25" customHeight="1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ht="5.25" customHeight="1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ht="5.25" customHeight="1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ht="5.25" customHeight="1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ht="5.25" customHeight="1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ht="5.25" customHeight="1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ht="5.25" customHeight="1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ht="5.25" customHeight="1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ht="5.25" customHeight="1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ht="5.25" customHeight="1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ht="5.25" customHeight="1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ht="5.25" customHeight="1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ht="5.25" customHeight="1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ht="5.25" customHeight="1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ht="5.25" customHeight="1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ht="5.25" customHeight="1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ht="5.25" customHeight="1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ht="5.25" customHeight="1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ht="5.25" customHeight="1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ht="5.25" customHeight="1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ht="5.25" customHeight="1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ht="5.25" customHeight="1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ht="5.25" customHeight="1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ht="5.25" customHeight="1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ht="5.25" customHeight="1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ht="5.25" customHeight="1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ht="5.25" customHeight="1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ht="5.25" customHeight="1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ht="5.25" customHeight="1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ht="5.25" customHeight="1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ht="5.25" customHeight="1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ht="5.25" customHeight="1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ht="5.25" customHeight="1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ht="5.25" customHeight="1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ht="5.25" customHeight="1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ht="5.25" customHeight="1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ht="5.25" customHeight="1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ht="5.25" customHeight="1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ht="5.25" customHeight="1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ht="5.25" customHeight="1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ht="5.25" customHeight="1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ht="5.25" customHeight="1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ht="5.25" customHeight="1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ht="5.25" customHeight="1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ht="5.25" customHeight="1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ht="5.25" customHeight="1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ht="5.25" customHeight="1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ht="5.25" customHeight="1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ht="5.25" customHeight="1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ht="5.25" customHeight="1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ht="5.25" customHeight="1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ht="5.25" customHeight="1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ht="5.25" customHeight="1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ht="5.25" customHeight="1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ht="5.25" customHeight="1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ht="5.25" customHeight="1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ht="5.25" customHeight="1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ht="5.25" customHeight="1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ht="5.25" customHeight="1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ht="5.25" customHeight="1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ht="5.25" customHeight="1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ht="5.25" customHeight="1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ht="5.25" customHeight="1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ht="5.25" customHeight="1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ht="5.25" customHeight="1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ht="5.25" customHeight="1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ht="5.25" customHeight="1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ht="5.25" customHeight="1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ht="5.25" customHeight="1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ht="5.25" customHeight="1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ht="5.25" customHeight="1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ht="5.25" customHeight="1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ht="5.25" customHeight="1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ht="5.25" customHeight="1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ht="5.25" customHeight="1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ht="5.25" customHeight="1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ht="5.25" customHeight="1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ht="5.25" customHeight="1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ht="5.25" customHeight="1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ht="5.25" customHeight="1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ht="5.25" customHeight="1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ht="5.25" customHeight="1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ht="5.25" customHeight="1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ht="5.25" customHeight="1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ht="5.25" customHeight="1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ht="5.25" customHeight="1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ht="5.25" customHeight="1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ht="5.25" customHeight="1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ht="5.25" customHeight="1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ht="5.25" customHeight="1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ht="5.25" customHeight="1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ht="5.25" customHeight="1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ht="5.25" customHeight="1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ht="5.25" customHeight="1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ht="5.25" customHeight="1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ht="5.25" customHeight="1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ht="5.25" customHeight="1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ht="5.25" customHeight="1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ht="5.25" customHeight="1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ht="5.25" customHeight="1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ht="5.25" customHeight="1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ht="5.25" customHeight="1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ht="5.25" customHeight="1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ht="5.25" customHeight="1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ht="5.25" customHeight="1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ht="5.25" customHeight="1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ht="5.25" customHeight="1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ht="5.25" customHeight="1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ht="5.25" customHeight="1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ht="5.25" customHeight="1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ht="5.25" customHeight="1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ht="5.25" customHeight="1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ht="5.25" customHeight="1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ht="5.25" customHeight="1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ht="5.25" customHeight="1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ht="5.25" customHeight="1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ht="5.25" customHeight="1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ht="5.25" customHeight="1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ht="5.25" customHeight="1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ht="5.25" customHeight="1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ht="5.25" customHeight="1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ht="5.25" customHeight="1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ht="5.25" customHeight="1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ht="5.25" customHeight="1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ht="5.25" customHeight="1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ht="5.25" customHeight="1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ht="5.25" customHeight="1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ht="5.25" customHeight="1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ht="5.25" customHeight="1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ht="5.25" customHeight="1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ht="5.25" customHeight="1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ht="5.25" customHeight="1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ht="5.25" customHeight="1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ht="5.25" customHeight="1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ht="5.25" customHeight="1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ht="5.25" customHeight="1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ht="5.25" customHeight="1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ht="5.25" customHeight="1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ht="5.25" customHeight="1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ht="5.25" customHeight="1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ht="5.25" customHeight="1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ht="5.25" customHeight="1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ht="5.25" customHeight="1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ht="5.25" customHeight="1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ht="5.25" customHeight="1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ht="5.25" customHeight="1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ht="5.25" customHeight="1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ht="5.25" customHeight="1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ht="5.25" customHeight="1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ht="5.25" customHeight="1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ht="5.25" customHeight="1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ht="5.25" customHeight="1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ht="5.25" customHeight="1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ht="5.25" customHeight="1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ht="5.25" customHeight="1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ht="5.25" customHeight="1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ht="5.25" customHeight="1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ht="5.25" customHeight="1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ht="5.25" customHeight="1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ht="5.25" customHeight="1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ht="5.25" customHeight="1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ht="5.25" customHeight="1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ht="5.25" customHeight="1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ht="5.25" customHeight="1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ht="5.25" customHeight="1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ht="5.25" customHeight="1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ht="5.25" customHeight="1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ht="5.25" customHeight="1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ht="5.25" customHeight="1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ht="5.25" customHeight="1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ht="5.25" customHeight="1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ht="5.25" customHeight="1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ht="5.25" customHeight="1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ht="5.25" customHeight="1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ht="5.25" customHeight="1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ht="5.25" customHeight="1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ht="5.25" customHeight="1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ht="5.25" customHeight="1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ht="5.25" customHeight="1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ht="5.25" customHeight="1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ht="5.25" customHeight="1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ht="5.25" customHeight="1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ht="5.25" customHeight="1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ht="5.25" customHeight="1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ht="5.25" customHeight="1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ht="5.25" customHeight="1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ht="5.25" customHeight="1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ht="5.25" customHeight="1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ht="5.25" customHeight="1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ht="5.25" customHeight="1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ht="5.25" customHeight="1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ht="5.25" customHeight="1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ht="5.25" customHeight="1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ht="5.25" customHeight="1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ht="5.25" customHeight="1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ht="5.25" customHeight="1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ht="5.25" customHeight="1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ht="5.25" customHeight="1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ht="5.25" customHeight="1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ht="5.25" customHeight="1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ht="5.25" customHeight="1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ht="5.25" customHeight="1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ht="5.25" customHeight="1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ht="5.25" customHeight="1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ht="5.25" customHeight="1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ht="5.25" customHeight="1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ht="5.25" customHeight="1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ht="5.25" customHeight="1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ht="5.25" customHeight="1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ht="5.25" customHeight="1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ht="5.25" customHeight="1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ht="5.25" customHeight="1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ht="5.25" customHeight="1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ht="5.25" customHeight="1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ht="5.25" customHeight="1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ht="5.25" customHeight="1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ht="5.25" customHeight="1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ht="5.25" customHeight="1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ht="5.25" customHeight="1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ht="5.25" customHeight="1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ht="5.25" customHeight="1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ht="5.25" customHeight="1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ht="5.25" customHeight="1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ht="5.25" customHeight="1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ht="5.25" customHeight="1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ht="5.25" customHeight="1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ht="5.25" customHeight="1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ht="5.25" customHeight="1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ht="5.25" customHeight="1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ht="5.25" customHeight="1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ht="5.25" customHeight="1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ht="5.25" customHeight="1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ht="5.25" customHeight="1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ht="5.25" customHeight="1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ht="5.25" customHeight="1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ht="5.25" customHeight="1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ht="5.25" customHeight="1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ht="5.25" customHeight="1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ht="5.25" customHeight="1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ht="5.25" customHeight="1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ht="5.25" customHeight="1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ht="5.25" customHeight="1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ht="5.25" customHeight="1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ht="5.25" customHeight="1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ht="5.25" customHeight="1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ht="5.25" customHeight="1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ht="5.25" customHeight="1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ht="5.25" customHeight="1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ht="5.25" customHeight="1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ht="5.25" customHeight="1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ht="5.25" customHeight="1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ht="5.25" customHeight="1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ht="5.25" customHeight="1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ht="5.25" customHeight="1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ht="5.25" customHeight="1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ht="5.25" customHeight="1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ht="5.25" customHeight="1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ht="5.25" customHeight="1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ht="5.25" customHeight="1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ht="5.25" customHeight="1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ht="5.25" customHeight="1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ht="5.25" customHeight="1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ht="5.25" customHeight="1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ht="5.25" customHeight="1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ht="5.25" customHeight="1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ht="5.25" customHeight="1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ht="5.25" customHeight="1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ht="5.25" customHeight="1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ht="5.25" customHeight="1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ht="5.25" customHeight="1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ht="5.25" customHeight="1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ht="5.25" customHeight="1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ht="5.25" customHeight="1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ht="5.25" customHeight="1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ht="5.25" customHeight="1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ht="5.25" customHeight="1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ht="5.25" customHeight="1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ht="5.25" customHeight="1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ht="5.25" customHeight="1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ht="5.25" customHeight="1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ht="5.25" customHeight="1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ht="5.25" customHeight="1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ht="5.25" customHeight="1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ht="5.25" customHeight="1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ht="5.25" customHeight="1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ht="5.25" customHeight="1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ht="5.25" customHeight="1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ht="5.25" customHeight="1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ht="5.25" customHeight="1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ht="5.25" customHeight="1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ht="5.25" customHeight="1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ht="5.25" customHeight="1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ht="5.25" customHeight="1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ht="5.25" customHeight="1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ht="5.25" customHeight="1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ht="5.25" customHeight="1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ht="5.25" customHeight="1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ht="5.25" customHeight="1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ht="5.25" customHeight="1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ht="5.25" customHeight="1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ht="5.25" customHeight="1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ht="5.25" customHeight="1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ht="5.25" customHeight="1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ht="5.25" customHeight="1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ht="5.25" customHeight="1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ht="5.25" customHeight="1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ht="5.25" customHeight="1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ht="5.25" customHeight="1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ht="5.25" customHeight="1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ht="5.25" customHeight="1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ht="5.25" customHeight="1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ht="5.25" customHeight="1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ht="5.25" customHeight="1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ht="5.25" customHeight="1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ht="5.25" customHeight="1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ht="5.25" customHeight="1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ht="5.25" customHeight="1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ht="5.25" customHeight="1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ht="5.25" customHeight="1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ht="5.25" customHeight="1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ht="5.25" customHeight="1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ht="5.25" customHeight="1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ht="5.25" customHeight="1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ht="5.25" customHeight="1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ht="5.25" customHeight="1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ht="5.25" customHeight="1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ht="5.25" customHeight="1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ht="5.25" customHeight="1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ht="5.25" customHeight="1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ht="5.25" customHeight="1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ht="5.25" customHeight="1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ht="5.25" customHeight="1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ht="5.25" customHeight="1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ht="5.25" customHeight="1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ht="5.25" customHeight="1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ht="5.25" customHeight="1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ht="5.25" customHeight="1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ht="5.25" customHeight="1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ht="5.25" customHeight="1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ht="5.25" customHeight="1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ht="5.25" customHeight="1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ht="5.25" customHeight="1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ht="5.25" customHeight="1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ht="5.25" customHeight="1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ht="5.25" customHeight="1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ht="5.25" customHeight="1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ht="5.25" customHeight="1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ht="5.25" customHeight="1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ht="5.25" customHeight="1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ht="5.25" customHeight="1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ht="5.25" customHeight="1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ht="5.25" customHeight="1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ht="5.25" customHeight="1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ht="5.25" customHeight="1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ht="5.25" customHeight="1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ht="5.25" customHeight="1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ht="5.25" customHeight="1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ht="5.25" customHeight="1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ht="5.25" customHeight="1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ht="5.25" customHeight="1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ht="5.25" customHeight="1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ht="5.25" customHeight="1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ht="5.25" customHeight="1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ht="5.25" customHeight="1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ht="5.25" customHeight="1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ht="5.25" customHeight="1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ht="5.25" customHeight="1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ht="5.25" customHeight="1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ht="5.25" customHeight="1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ht="5.25" customHeight="1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ht="5.25" customHeight="1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ht="5.25" customHeight="1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ht="5.25" customHeight="1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ht="5.25" customHeight="1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ht="5.25" customHeight="1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ht="5.25" customHeight="1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ht="5.25" customHeight="1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ht="5.25" customHeight="1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ht="5.25" customHeight="1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ht="5.25" customHeight="1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ht="5.25" customHeight="1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ht="5.25" customHeight="1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ht="5.25" customHeight="1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ht="5.25" customHeight="1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ht="5.25" customHeight="1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ht="5.25" customHeight="1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ht="5.25" customHeight="1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ht="5.25" customHeight="1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ht="5.25" customHeight="1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ht="5.25" customHeight="1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ht="5.25" customHeight="1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ht="5.25" customHeight="1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ht="5.25" customHeight="1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ht="5.25" customHeight="1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ht="5.25" customHeight="1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ht="5.25" customHeight="1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ht="5.25" customHeight="1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ht="5.25" customHeight="1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ht="5.25" customHeight="1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ht="5.25" customHeight="1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ht="5.25" customHeight="1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ht="5.25" customHeight="1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ht="5.25" customHeight="1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ht="5.25" customHeight="1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ht="5.25" customHeight="1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ht="5.25" customHeight="1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ht="5.25" customHeight="1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ht="5.25" customHeight="1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ht="5.25" customHeight="1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ht="5.25" customHeight="1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ht="5.25" customHeight="1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ht="5.25" customHeight="1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ht="5.25" customHeight="1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ht="5.25" customHeight="1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ht="5.25" customHeight="1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ht="5.25" customHeight="1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ht="5.25" customHeight="1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ht="5.25" customHeight="1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ht="5.25" customHeight="1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ht="5.25" customHeight="1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ht="5.25" customHeight="1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ht="5.25" customHeight="1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ht="5.25" customHeight="1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ht="5.25" customHeight="1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ht="5.25" customHeight="1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ht="5.25" customHeight="1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ht="5.25" customHeight="1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ht="5.25" customHeight="1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ht="5.25" customHeight="1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ht="5.25" customHeight="1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ht="5.25" customHeight="1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ht="5.25" customHeight="1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ht="5.25" customHeight="1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ht="5.25" customHeight="1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ht="5.25" customHeight="1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ht="5.25" customHeight="1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ht="5.25" customHeight="1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ht="5.25" customHeight="1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ht="5.25" customHeight="1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ht="5.25" customHeight="1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ht="5.25" customHeight="1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ht="5.25" customHeight="1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ht="5.25" customHeight="1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ht="5.25" customHeight="1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ht="5.25" customHeight="1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ht="5.25" customHeight="1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ht="5.25" customHeight="1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ht="5.25" customHeight="1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ht="5.25" customHeight="1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ht="5.25" customHeight="1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ht="5.25" customHeight="1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ht="5.25" customHeight="1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ht="5.25" customHeight="1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ht="5.25" customHeight="1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ht="5.25" customHeight="1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ht="5.25" customHeight="1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ht="5.25" customHeight="1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ht="5.25" customHeight="1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ht="5.25" customHeight="1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ht="5.25" customHeight="1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ht="5.25" customHeight="1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ht="5.25" customHeight="1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ht="5.25" customHeight="1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ht="5.25" customHeight="1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ht="5.25" customHeight="1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ht="5.25" customHeight="1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ht="5.25" customHeight="1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ht="5.25" customHeight="1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ht="5.25" customHeight="1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ht="5.25" customHeight="1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ht="5.25" customHeight="1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ht="5.25" customHeight="1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ht="5.25" customHeight="1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ht="5.25" customHeight="1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ht="5.25" customHeight="1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ht="5.25" customHeight="1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ht="5.25" customHeight="1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ht="5.25" customHeight="1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ht="5.25" customHeight="1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ht="5.25" customHeight="1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ht="5.25" customHeight="1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ht="5.25" customHeight="1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ht="5.25" customHeight="1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ht="5.25" customHeight="1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ht="5.25" customHeight="1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ht="5.25" customHeight="1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ht="5.25" customHeight="1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ht="5.25" customHeight="1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ht="5.25" customHeight="1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ht="5.25" customHeight="1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ht="5.25" customHeight="1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ht="5.25" customHeight="1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ht="5.25" customHeight="1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ht="5.25" customHeight="1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ht="5.25" customHeight="1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ht="5.25" customHeight="1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ht="5.25" customHeight="1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ht="5.25" customHeight="1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ht="5.25" customHeight="1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ht="5.25" customHeight="1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ht="5.25" customHeight="1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ht="5.25" customHeight="1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ht="5.25" customHeight="1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ht="5.25" customHeight="1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ht="5.25" customHeight="1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ht="5.25" customHeight="1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ht="5.25" customHeight="1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ht="5.25" customHeight="1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ht="5.25" customHeight="1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ht="5.25" customHeight="1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ht="5.25" customHeight="1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ht="5.25" customHeight="1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ht="5.25" customHeight="1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ht="5.25" customHeight="1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ht="5.25" customHeight="1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ht="5.25" customHeight="1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ht="5.25" customHeight="1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ht="5.25" customHeight="1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ht="5.25" customHeight="1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ht="5.25" customHeight="1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ht="5.25" customHeight="1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ht="5.25" customHeight="1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ht="5.25" customHeight="1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ht="5.25" customHeight="1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ht="5.25" customHeight="1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ht="5.25" customHeight="1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ht="5.25" customHeight="1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ht="5.25" customHeight="1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ht="5.25" customHeight="1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ht="5.25" customHeight="1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ht="5.25" customHeight="1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ht="5.25" customHeight="1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ht="5.25" customHeight="1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ht="5.25" customHeight="1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ht="5.25" customHeight="1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ht="5.25" customHeight="1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ht="5.25" customHeight="1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ht="5.25" customHeight="1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ht="5.25" customHeight="1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ht="5.25" customHeight="1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ht="5.25" customHeight="1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ht="5.25" customHeight="1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ht="5.25" customHeight="1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ht="5.25" customHeight="1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ht="5.25" customHeight="1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ht="5.25" customHeight="1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ht="5.25" customHeight="1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ht="5.25" customHeight="1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ht="5.25" customHeight="1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ht="5.25" customHeight="1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ht="5.25" customHeight="1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ht="5.25" customHeight="1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ht="5.25" customHeight="1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ht="5.25" customHeight="1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ht="5.25" customHeight="1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ht="5.25" customHeight="1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ht="5.25" customHeight="1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ht="5.25" customHeight="1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ht="5.25" customHeight="1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ht="5.25" customHeight="1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ht="5.25" customHeight="1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ht="5.25" customHeight="1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ht="5.25" customHeight="1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ht="5.25" customHeight="1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ht="5.25" customHeight="1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ht="5.25" customHeight="1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ht="5.25" customHeight="1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ht="5.25" customHeight="1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ht="5.25" customHeight="1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ht="5.25" customHeight="1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ht="5.25" customHeight="1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ht="5.25" customHeight="1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ht="5.25" customHeight="1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ht="5.25" customHeight="1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ht="5.25" customHeight="1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ht="5.25" customHeight="1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ht="5.25" customHeight="1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ht="5.25" customHeight="1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ht="5.25" customHeight="1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ht="5.25" customHeight="1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ht="5.25" customHeight="1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ht="5.25" customHeight="1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ht="5.25" customHeight="1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ht="5.25" customHeight="1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ht="5.25" customHeight="1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ht="5.25" customHeight="1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ht="5.25" customHeight="1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ht="5.25" customHeight="1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ht="5.25" customHeight="1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ht="5.25" customHeight="1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ht="5.25" customHeight="1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ht="5.25" customHeight="1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ht="5.25" customHeight="1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ht="5.25" customHeight="1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ht="5.25" customHeight="1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ht="5.25" customHeight="1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ht="5.25" customHeight="1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ht="5.25" customHeight="1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ht="5.25" customHeight="1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ht="5.25" customHeight="1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ht="5.25" customHeight="1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ht="5.25" customHeight="1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ht="5.25" customHeight="1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ht="5.25" customHeight="1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ht="5.25" customHeight="1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ht="5.25" customHeight="1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ht="5.25" customHeight="1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ht="5.25" customHeight="1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ht="5.25" customHeight="1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ht="5.25" customHeight="1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ht="5.25" customHeight="1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ht="5.25" customHeight="1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ht="5.25" customHeight="1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ht="5.25" customHeight="1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ht="5.25" customHeight="1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ht="5.25" customHeight="1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ht="5.25" customHeight="1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ht="5.25" customHeight="1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ht="5.25" customHeight="1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ht="5.25" customHeight="1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ht="5.25" customHeight="1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ht="5.25" customHeight="1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ht="5.25" customHeight="1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ht="5.25" customHeight="1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ht="5.25" customHeight="1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ht="5.25" customHeight="1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ht="5.25" customHeight="1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ht="5.25" customHeight="1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ht="5.25" customHeight="1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ht="5.25" customHeight="1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ht="5.25" customHeight="1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ht="5.25" customHeight="1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ht="5.25" customHeight="1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ht="5.25" customHeight="1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ht="5.25" customHeight="1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ht="5.25" customHeight="1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ht="5.25" customHeight="1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ht="5.25" customHeight="1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ht="5.25" customHeight="1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ht="5.25" customHeight="1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ht="5.25" customHeight="1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ht="5.25" customHeight="1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ht="5.25" customHeight="1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ht="5.25" customHeight="1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ht="5.25" customHeight="1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ht="5.25" customHeight="1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ht="5.25" customHeight="1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ht="5.25" customHeight="1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ht="5.25" customHeight="1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ht="5.25" customHeight="1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ht="5.25" customHeight="1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ht="5.25" customHeight="1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ht="5.25" customHeight="1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ht="5.25" customHeight="1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ht="5.25" customHeight="1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ht="5.25" customHeight="1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ht="5.25" customHeight="1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ht="5.25" customHeight="1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ht="5.25" customHeight="1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ht="5.25" customHeight="1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ht="5.25" customHeight="1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ht="5.25" customHeight="1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ht="5.25" customHeight="1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ht="5.25" customHeight="1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ht="5.25" customHeight="1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ht="5.25" customHeight="1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ht="5.25" customHeight="1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ht="5.25" customHeight="1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ht="5.25" customHeight="1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ht="5.25" customHeight="1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ht="5.25" customHeight="1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ht="5.25" customHeight="1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ht="5.25" customHeight="1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ht="5.25" customHeight="1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ht="5.25" customHeight="1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ht="5.25" customHeight="1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ht="5.25" customHeight="1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ht="5.25" customHeight="1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ht="5.25" customHeight="1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ht="5.25" customHeight="1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ht="5.25" customHeight="1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ht="5.25" customHeight="1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ht="5.25" customHeight="1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ht="5.25" customHeight="1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ht="5.25" customHeight="1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ht="5.25" customHeight="1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ht="5.25" customHeight="1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ht="5.25" customHeight="1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ht="5.25" customHeight="1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ht="5.25" customHeight="1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ht="5.25" customHeight="1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ht="5.25" customHeight="1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ht="5.25" customHeight="1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ht="5.25" customHeight="1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ht="5.25" customHeight="1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ht="5.25" customHeight="1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ht="5.25" customHeight="1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ht="5.25" customHeight="1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ht="5.25" customHeight="1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ht="5.25" customHeight="1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ht="5.25" customHeight="1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ht="5.25" customHeight="1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ht="5.25" customHeight="1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ht="5.25" customHeight="1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ht="5.25" customHeight="1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ht="5.25" customHeight="1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ht="5.25" customHeight="1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ht="5.25" customHeight="1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ht="5.25" customHeight="1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ht="5.25" customHeight="1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ht="5.25" customHeight="1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ht="5.25" customHeight="1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ht="5.25" customHeight="1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mergeCells count="116">
    <mergeCell ref="E1:E2"/>
    <mergeCell ref="E4:E5"/>
    <mergeCell ref="I8:I12"/>
    <mergeCell ref="V2:V4"/>
    <mergeCell ref="W4:W8"/>
    <mergeCell ref="V5:V6"/>
    <mergeCell ref="V7:V8"/>
    <mergeCell ref="V9:V10"/>
    <mergeCell ref="Y10:Y11"/>
    <mergeCell ref="Z10:Z11"/>
    <mergeCell ref="Y1:Z2"/>
    <mergeCell ref="B2:B5"/>
    <mergeCell ref="R2:R5"/>
    <mergeCell ref="Y3:Z9"/>
    <mergeCell ref="D4:D8"/>
    <mergeCell ref="F4:F7"/>
    <mergeCell ref="T4:T8"/>
    <mergeCell ref="E6:E7"/>
    <mergeCell ref="B12:B15"/>
    <mergeCell ref="D14:D18"/>
    <mergeCell ref="E14:E15"/>
    <mergeCell ref="F14:F17"/>
    <mergeCell ref="E16:E17"/>
    <mergeCell ref="Q12:Q13"/>
    <mergeCell ref="Q14:Q15"/>
    <mergeCell ref="T14:T18"/>
    <mergeCell ref="Q17:Q18"/>
    <mergeCell ref="R17:R20"/>
    <mergeCell ref="Q19:Q20"/>
    <mergeCell ref="Q3:Q4"/>
    <mergeCell ref="O4:O8"/>
    <mergeCell ref="Q5:Q6"/>
    <mergeCell ref="Q7:Q8"/>
    <mergeCell ref="R7:R10"/>
    <mergeCell ref="Q9:Q10"/>
    <mergeCell ref="R12:R15"/>
    <mergeCell ref="A2:A3"/>
    <mergeCell ref="A4:A5"/>
    <mergeCell ref="A7:A8"/>
    <mergeCell ref="B7:B10"/>
    <mergeCell ref="A9:A10"/>
    <mergeCell ref="A12:A13"/>
    <mergeCell ref="A14:A15"/>
    <mergeCell ref="B57:B60"/>
    <mergeCell ref="B62:B65"/>
    <mergeCell ref="B67:B70"/>
    <mergeCell ref="B72:B75"/>
    <mergeCell ref="B77:B80"/>
    <mergeCell ref="B22:B25"/>
    <mergeCell ref="B27:B30"/>
    <mergeCell ref="B32:B35"/>
    <mergeCell ref="B37:B40"/>
    <mergeCell ref="B42:B45"/>
    <mergeCell ref="B47:B50"/>
    <mergeCell ref="B52:B55"/>
    <mergeCell ref="F64:F67"/>
    <mergeCell ref="I68:I72"/>
    <mergeCell ref="D54:D58"/>
    <mergeCell ref="E54:E55"/>
    <mergeCell ref="F54:F57"/>
    <mergeCell ref="E56:E57"/>
    <mergeCell ref="D64:D68"/>
    <mergeCell ref="E64:E65"/>
    <mergeCell ref="E66:E67"/>
    <mergeCell ref="E74:E75"/>
    <mergeCell ref="E76:E77"/>
    <mergeCell ref="E84:E85"/>
    <mergeCell ref="F84:F87"/>
    <mergeCell ref="E86:E87"/>
    <mergeCell ref="A64:A65"/>
    <mergeCell ref="A67:A68"/>
    <mergeCell ref="A69:A70"/>
    <mergeCell ref="A72:A73"/>
    <mergeCell ref="A74:A75"/>
    <mergeCell ref="D74:D78"/>
    <mergeCell ref="F74:F77"/>
    <mergeCell ref="E24:E25"/>
    <mergeCell ref="F24:F27"/>
    <mergeCell ref="E26:E27"/>
    <mergeCell ref="I28:I32"/>
    <mergeCell ref="A17:A18"/>
    <mergeCell ref="B17:B20"/>
    <mergeCell ref="A19:A20"/>
    <mergeCell ref="A22:A23"/>
    <mergeCell ref="A24:A25"/>
    <mergeCell ref="D24:D28"/>
    <mergeCell ref="A27:A28"/>
    <mergeCell ref="A29:A30"/>
    <mergeCell ref="A32:A33"/>
    <mergeCell ref="A34:A35"/>
    <mergeCell ref="D34:D38"/>
    <mergeCell ref="E34:E35"/>
    <mergeCell ref="F34:F37"/>
    <mergeCell ref="E36:E37"/>
    <mergeCell ref="A44:A45"/>
    <mergeCell ref="A47:A48"/>
    <mergeCell ref="A37:A38"/>
    <mergeCell ref="A39:A40"/>
    <mergeCell ref="D44:D48"/>
    <mergeCell ref="E44:E45"/>
    <mergeCell ref="F44:F47"/>
    <mergeCell ref="E46:E47"/>
    <mergeCell ref="I48:I52"/>
    <mergeCell ref="A42:A43"/>
    <mergeCell ref="A49:A50"/>
    <mergeCell ref="A52:A53"/>
    <mergeCell ref="A54:A55"/>
    <mergeCell ref="A57:A58"/>
    <mergeCell ref="A59:A60"/>
    <mergeCell ref="A62:A63"/>
    <mergeCell ref="A77:A78"/>
    <mergeCell ref="A79:A80"/>
    <mergeCell ref="I88:I92"/>
    <mergeCell ref="E91:E92"/>
    <mergeCell ref="F91:F94"/>
    <mergeCell ref="E93:E9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</cols>
  <sheetData>
    <row r="1" ht="6.75" customHeight="1">
      <c r="A1" s="1"/>
      <c r="B1" s="1"/>
      <c r="C1" s="1"/>
      <c r="D1" s="1"/>
      <c r="E1" s="1"/>
    </row>
    <row r="2" ht="6.75" customHeight="1">
      <c r="A2" s="1"/>
      <c r="B2" s="47" t="str">
        <f>'D07'!B32</f>
        <v>頂層事件(Top Event )</v>
      </c>
      <c r="C2" s="1"/>
      <c r="D2" s="8" t="str">
        <f>'D07'!D32</f>
        <v>1-1-值班室或EWCS通報電池異常</v>
      </c>
      <c r="E2" s="9"/>
    </row>
    <row r="3" ht="6.75" customHeight="1">
      <c r="A3" s="1"/>
      <c r="B3" s="9"/>
      <c r="C3" s="1"/>
      <c r="D3" s="13" t="str">
        <f>'D07'!D33</f>
        <v>R001=59.9% ~ 66.2%</v>
      </c>
      <c r="E3" s="15"/>
    </row>
    <row r="4" ht="6.75" customHeight="1">
      <c r="A4" s="1"/>
      <c r="B4" s="69" t="str">
        <f>'D07'!B34</f>
        <v>電芯溫度或壓力達危險界限FTop(t)
The Temperature or Pressure of the Cell Reaches Dangerous Levels</v>
      </c>
      <c r="C4" s="1"/>
      <c r="D4" s="7"/>
      <c r="E4" s="1"/>
    </row>
    <row r="5" ht="6.75" customHeight="1">
      <c r="A5" s="1"/>
      <c r="B5" s="12"/>
      <c r="C5" s="51"/>
      <c r="D5" s="7"/>
      <c r="E5" s="1"/>
    </row>
    <row r="6" ht="6.75" customHeight="1">
      <c r="A6" s="1"/>
      <c r="B6" s="12"/>
      <c r="C6" s="45"/>
      <c r="D6" s="7"/>
      <c r="E6" s="1"/>
    </row>
    <row r="7" ht="6.75" customHeight="1">
      <c r="A7" s="1"/>
      <c r="B7" s="21"/>
      <c r="C7" s="1"/>
      <c r="D7" s="40"/>
      <c r="E7" s="1"/>
    </row>
    <row r="8" ht="6.75" customHeight="1">
      <c r="B8" s="70" t="str">
        <f>'D07'!B38</f>
        <v>Freq.Ann (Annual Frequency)</v>
      </c>
      <c r="D8" s="40"/>
      <c r="E8" s="1"/>
    </row>
    <row r="9" ht="6.75" customHeight="1">
      <c r="B9" s="70"/>
      <c r="D9" s="30" t="s">
        <v>144</v>
      </c>
      <c r="E9" s="9"/>
    </row>
    <row r="10" ht="6.75" customHeight="1">
      <c r="B10" s="70"/>
      <c r="D10" s="32" t="s">
        <v>145</v>
      </c>
      <c r="E10" s="15"/>
    </row>
    <row r="11" ht="6.75" customHeight="1">
      <c r="B11" s="70"/>
      <c r="D11" s="1"/>
      <c r="E11" s="1"/>
    </row>
  </sheetData>
  <mergeCells count="6">
    <mergeCell ref="B2:B3"/>
    <mergeCell ref="D2:E2"/>
    <mergeCell ref="D3:E3"/>
    <mergeCell ref="B4:B7"/>
    <mergeCell ref="D9:E9"/>
    <mergeCell ref="D10:E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</cols>
  <sheetData>
    <row r="1" ht="6.75" customHeight="1">
      <c r="A1" s="1"/>
      <c r="B1" s="1"/>
      <c r="C1" s="1"/>
      <c r="D1" s="1"/>
      <c r="E1" s="1"/>
      <c r="F1" s="31" t="str">
        <f>IFERROR(__xludf.DUMMYFUNCTION("IMPORTRANGE(""https://docs.google.com/spreadsheets/d/1UImQ1ocFMEFZOYmlUDjovDz_rFGbq88uQHJf4KoeLU4/edit?gid=1432559478#gid=1432559478"",""'D09'!F7:G16"")"),"")</f>
        <v/>
      </c>
      <c r="G1" s="1"/>
    </row>
    <row r="2" ht="6.75" customHeight="1">
      <c r="A2" s="1"/>
      <c r="B2" s="1"/>
      <c r="C2" s="1"/>
      <c r="D2" s="1"/>
      <c r="E2" s="1"/>
      <c r="F2" s="8" t="str">
        <f>IFERROR(__xludf.DUMMYFUNCTION("""COMPUTED_VALUE"""),"2-1-BESS緊急安全關斷")</f>
        <v>2-1-BESS緊急安全關斷</v>
      </c>
      <c r="G2" s="9"/>
    </row>
    <row r="3" ht="6.75" customHeight="1">
      <c r="A3" s="1"/>
      <c r="B3" s="1"/>
      <c r="C3" s="1"/>
      <c r="D3" s="1"/>
      <c r="E3" s="1"/>
      <c r="F3" s="13" t="str">
        <f>IFERROR(__xludf.DUMMYFUNCTION("""COMPUTED_VALUE"""),"R002=68.1% ~ 75.2%")</f>
        <v>R002=68.1% ~ 75.2%</v>
      </c>
      <c r="G3" s="15"/>
    </row>
    <row r="4" ht="6.75" customHeight="1">
      <c r="A4" s="1"/>
      <c r="B4" s="47" t="str">
        <f>'D07'!B32</f>
        <v>頂層事件(Top Event )</v>
      </c>
      <c r="C4" s="1"/>
      <c r="D4" s="8" t="str">
        <f>'D07'!D32</f>
        <v>1-1-值班室或EWCS通報電池異常</v>
      </c>
      <c r="E4" s="20"/>
      <c r="F4" s="7"/>
      <c r="G4" s="1"/>
    </row>
    <row r="5" ht="6.75" customHeight="1">
      <c r="A5" s="1"/>
      <c r="B5" s="9"/>
      <c r="C5" s="1"/>
      <c r="D5" s="13" t="str">
        <f>'D07'!D33</f>
        <v>R001=59.9% ~ 66.2%</v>
      </c>
      <c r="E5" s="14"/>
      <c r="F5" s="7"/>
      <c r="G5" s="1"/>
    </row>
    <row r="6" ht="6.75" customHeight="1">
      <c r="A6" s="1"/>
      <c r="B6" s="69" t="str">
        <f>'D07'!B34</f>
        <v>電芯溫度或壓力達危險界限FTop(t)
The Temperature or Pressure of the Cell Reaches Dangerous Levels</v>
      </c>
      <c r="C6" s="1"/>
      <c r="D6" s="7"/>
      <c r="E6" s="1"/>
      <c r="F6" s="7"/>
      <c r="G6" s="1"/>
    </row>
    <row r="7" ht="6.75" customHeight="1">
      <c r="A7" s="1"/>
      <c r="B7" s="12"/>
      <c r="C7" s="51"/>
      <c r="D7" s="7"/>
      <c r="E7" s="1"/>
      <c r="F7" s="40"/>
      <c r="G7" s="1"/>
    </row>
    <row r="8" ht="6.75" customHeight="1">
      <c r="A8" s="1"/>
      <c r="B8" s="12"/>
      <c r="C8" s="45"/>
      <c r="D8" s="7"/>
      <c r="E8" s="1"/>
      <c r="F8" s="40"/>
      <c r="G8" s="1"/>
    </row>
    <row r="9" ht="6.75" customHeight="1">
      <c r="A9" s="1"/>
      <c r="B9" s="21"/>
      <c r="C9" s="1"/>
      <c r="D9" s="40"/>
      <c r="E9" s="1"/>
      <c r="F9" s="7"/>
      <c r="G9" s="1"/>
    </row>
    <row r="10" ht="6.75" customHeight="1">
      <c r="B10" s="70" t="str">
        <f>'D07'!B38</f>
        <v>Freq.Ann (Annual Frequency)</v>
      </c>
      <c r="D10" s="40"/>
      <c r="E10" s="1"/>
      <c r="F10" s="7"/>
      <c r="G10" s="1"/>
    </row>
    <row r="11" ht="6.75" customHeight="1">
      <c r="B11" s="70"/>
      <c r="D11" s="40"/>
      <c r="E11" s="1"/>
      <c r="F11" s="30" t="str">
        <f>'D10'!F56</f>
        <v>2-2-BESS未緊急安全關斷</v>
      </c>
      <c r="G11" s="9"/>
    </row>
    <row r="12" ht="6.75" customHeight="1">
      <c r="B12" s="70"/>
      <c r="D12" s="40"/>
      <c r="E12" s="1"/>
      <c r="F12" s="32" t="str">
        <f>'D10'!F57</f>
        <v>R047=24.8% ~ 31.9%</v>
      </c>
      <c r="G12" s="15"/>
    </row>
  </sheetData>
  <mergeCells count="8">
    <mergeCell ref="F2:G2"/>
    <mergeCell ref="F3:G3"/>
    <mergeCell ref="B4:B5"/>
    <mergeCell ref="D4:E4"/>
    <mergeCell ref="D5:E5"/>
    <mergeCell ref="B6:B9"/>
    <mergeCell ref="F11:G11"/>
    <mergeCell ref="F12:G1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</cols>
  <sheetData>
    <row r="1" ht="6.75" customHeight="1">
      <c r="A1" s="1"/>
      <c r="B1" s="1"/>
      <c r="C1" s="1"/>
      <c r="D1" s="1"/>
      <c r="E1" s="1"/>
      <c r="F1" s="1" t="str">
        <f>IFERROR(__xludf.DUMMYFUNCTION("IMPORTRANGE(""https://docs.google.com/spreadsheets/d/1UImQ1ocFMEFZOYmlUDjovDz_rFGbq88uQHJf4KoeLU4/edit?gid=1432559478#gid=1432559478"",""'D09'!F1:I16"")"),"")</f>
        <v/>
      </c>
      <c r="G1" s="1"/>
      <c r="H1" s="1"/>
      <c r="I1" s="1"/>
      <c r="J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'D04'!J2</f>
        <v>Impact 01</v>
      </c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'D04'!J3</f>
        <v>P(01)=35.75%</v>
      </c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35"/>
    </row>
    <row r="5" ht="6.75" customHeight="1">
      <c r="A5" s="1"/>
      <c r="B5" s="1"/>
      <c r="C5" s="1"/>
      <c r="D5" s="1"/>
      <c r="E5" s="1"/>
      <c r="F5" s="1"/>
      <c r="G5" s="1"/>
      <c r="H5" s="7"/>
      <c r="I5" s="1"/>
      <c r="J5" s="35"/>
    </row>
    <row r="6" ht="6.75" customHeight="1">
      <c r="A6" s="1"/>
      <c r="B6" s="1"/>
      <c r="C6" s="1"/>
      <c r="D6" s="1"/>
      <c r="E6" s="1"/>
      <c r="F6" s="1"/>
      <c r="G6" s="1"/>
      <c r="H6" s="7"/>
      <c r="I6" s="1"/>
      <c r="J6" s="1"/>
    </row>
    <row r="7" ht="6.75" customHeight="1">
      <c r="A7" s="1"/>
      <c r="B7" s="1"/>
      <c r="C7" s="1"/>
      <c r="D7" s="1"/>
      <c r="E7" s="1"/>
      <c r="F7" s="31"/>
      <c r="G7" s="1"/>
      <c r="H7" s="7"/>
      <c r="I7" s="1"/>
      <c r="J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1"/>
      <c r="J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1"/>
      <c r="J9" s="31"/>
    </row>
    <row r="10" ht="6.75" customHeight="1">
      <c r="A10" s="1"/>
      <c r="B10" s="47" t="str">
        <f>'D07'!B32</f>
        <v>頂層事件(Top Event )</v>
      </c>
      <c r="C10" s="1"/>
      <c r="D10" s="8" t="str">
        <f>'D07'!D32</f>
        <v>1-1-值班室或EWCS通報電池異常</v>
      </c>
      <c r="E10" s="20"/>
      <c r="F10" s="7"/>
      <c r="G10" s="24"/>
      <c r="H10" s="7"/>
      <c r="I10" s="1"/>
      <c r="J10" s="35"/>
    </row>
    <row r="11" ht="6.75" customHeight="1">
      <c r="A11" s="1"/>
      <c r="B11" s="9"/>
      <c r="C11" s="1"/>
      <c r="D11" s="13" t="str">
        <f>'D07'!D33</f>
        <v>R001=59.9% ~ 66.2%</v>
      </c>
      <c r="E11" s="14"/>
      <c r="F11" s="7"/>
      <c r="G11" s="1"/>
      <c r="H11" s="7"/>
      <c r="I11" s="1"/>
      <c r="J11" s="1"/>
    </row>
    <row r="12" ht="6.75" customHeight="1">
      <c r="A12" s="1"/>
      <c r="B12" s="69" t="str">
        <f>'D07'!B34</f>
        <v>電芯溫度或壓力達危險界限FTop(t)
The Temperature or Pressure of the Cell Reaches Dangerous Levels</v>
      </c>
      <c r="C12" s="1"/>
      <c r="D12" s="7"/>
      <c r="E12" s="1"/>
      <c r="F12" s="7"/>
      <c r="G12" s="1"/>
      <c r="H12" s="7"/>
      <c r="I12" s="1"/>
      <c r="J12" s="1"/>
    </row>
    <row r="13" ht="6.75" customHeight="1">
      <c r="A13" s="1"/>
      <c r="B13" s="12"/>
      <c r="C13" s="51"/>
      <c r="D13" s="7"/>
      <c r="E13" s="1"/>
      <c r="F13" s="40"/>
      <c r="G13" s="1"/>
      <c r="H13" s="7"/>
      <c r="I13" s="1"/>
      <c r="J13" s="1"/>
    </row>
    <row r="14" ht="6.75" customHeight="1">
      <c r="A14" s="1"/>
      <c r="B14" s="12"/>
      <c r="C14" s="45"/>
      <c r="D14" s="7"/>
      <c r="E14" s="1"/>
      <c r="F14" s="40"/>
      <c r="G14" s="1"/>
      <c r="H14" s="7"/>
      <c r="I14" s="1"/>
      <c r="J14" s="1"/>
    </row>
    <row r="15" ht="6.75" customHeight="1">
      <c r="A15" s="1"/>
      <c r="B15" s="21"/>
      <c r="C15" s="1"/>
      <c r="D15" s="40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9"/>
      <c r="J15" s="1"/>
    </row>
    <row r="16" ht="6.75" customHeight="1">
      <c r="B16" s="70" t="str">
        <f>'D07'!B38</f>
        <v>Freq.Ann (Annual Frequency)</v>
      </c>
      <c r="D16" s="40"/>
      <c r="E16" s="1"/>
      <c r="F16" s="7"/>
      <c r="G16" s="1"/>
      <c r="H16" s="32" t="str">
        <f>IFERROR(__xludf.DUMMYFUNCTION("""COMPUTED_VALUE"""),"R004=16.8% ~ 24.8%")</f>
        <v>R004=16.8% ~ 24.8%</v>
      </c>
      <c r="I16" s="15"/>
      <c r="J16" s="1"/>
    </row>
  </sheetData>
  <mergeCells count="10">
    <mergeCell ref="H3:I3"/>
    <mergeCell ref="H15:I15"/>
    <mergeCell ref="H16:I16"/>
    <mergeCell ref="H2:I2"/>
    <mergeCell ref="F8:G8"/>
    <mergeCell ref="F9:G9"/>
    <mergeCell ref="B10:B11"/>
    <mergeCell ref="D10:E10"/>
    <mergeCell ref="D11:E11"/>
    <mergeCell ref="B12:B1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</cols>
  <sheetData>
    <row r="1" ht="6.75" customHeight="1">
      <c r="A1" s="1"/>
      <c r="B1" s="1"/>
      <c r="C1" s="1"/>
      <c r="D1" s="1"/>
      <c r="E1" s="1"/>
      <c r="F1" s="1" t="str">
        <f>IFERROR(__xludf.DUMMYFUNCTION("IMPORTRANGE(""https://docs.google.com/spreadsheets/d/1UImQ1ocFMEFZOYmlUDjovDz_rFGbq88uQHJf4KoeLU4/edit?gid=1432559478#gid=1432559478"",""'D09'!F1:K28"")"),"")</f>
        <v/>
      </c>
      <c r="G1" s="1"/>
      <c r="H1" s="1"/>
      <c r="I1" s="1"/>
      <c r="J1" s="1"/>
      <c r="K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35" t="str">
        <f>IFERROR(__xludf.DUMMYFUNCTION("""COMPUTED_VALUE"""),"4-1-通風排出裝置啟動")</f>
        <v>4-1-通風排出裝置啟動</v>
      </c>
    </row>
    <row r="5" ht="6.75" customHeight="1">
      <c r="A5" s="1"/>
      <c r="B5" s="1"/>
      <c r="C5" s="1"/>
      <c r="D5" s="1"/>
      <c r="E5" s="1"/>
      <c r="F5" s="1"/>
      <c r="G5" s="1"/>
      <c r="H5" s="7"/>
      <c r="I5" s="1"/>
      <c r="J5" s="13" t="str">
        <f>IFERROR(__xludf.DUMMYFUNCTION("""COMPUTED_VALUE"""),"R005=25.0% ~ 27.6%")</f>
        <v>R005=25.0% ~ 27.6%</v>
      </c>
      <c r="K5" s="15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</row>
    <row r="10" ht="6.75" customHeight="1">
      <c r="A10" s="1"/>
      <c r="B10" s="47" t="str">
        <f>'D07'!B32</f>
        <v>頂層事件(Top Event )</v>
      </c>
      <c r="C10" s="1"/>
      <c r="D10" s="8" t="str">
        <f>'D07'!D32</f>
        <v>1-1-值班室或EWCS通報電池異常</v>
      </c>
      <c r="E10" s="20"/>
      <c r="F10" s="7"/>
      <c r="G10" s="24"/>
      <c r="H10" s="7"/>
      <c r="I10" s="24"/>
      <c r="J10" s="35"/>
      <c r="K10" s="1"/>
    </row>
    <row r="11" ht="6.75" customHeight="1">
      <c r="A11" s="1"/>
      <c r="B11" s="9"/>
      <c r="C11" s="1"/>
      <c r="D11" s="13" t="str">
        <f>'D07'!D33</f>
        <v>R001=59.9% ~ 66.2%</v>
      </c>
      <c r="E11" s="14"/>
      <c r="F11" s="7"/>
      <c r="G11" s="1"/>
      <c r="H11" s="7"/>
      <c r="I11" s="24"/>
      <c r="J11" s="1"/>
      <c r="K11" s="1"/>
    </row>
    <row r="12" ht="6.75" customHeight="1">
      <c r="A12" s="1"/>
      <c r="B12" s="69" t="str">
        <f>'D07'!B34</f>
        <v>電芯溫度或壓力達危險界限FTop(t)
The Temperature or Pressure of the Cell Reaches Dangerous Levels</v>
      </c>
      <c r="C12" s="1"/>
      <c r="D12" s="7"/>
      <c r="E12" s="1"/>
      <c r="F12" s="7"/>
      <c r="G12" s="1"/>
      <c r="H12" s="7"/>
      <c r="I12" s="24"/>
      <c r="J12" s="1"/>
      <c r="K12" s="1"/>
    </row>
    <row r="13" ht="6.75" customHeight="1">
      <c r="A13" s="1"/>
      <c r="B13" s="12"/>
      <c r="C13" s="51"/>
      <c r="D13" s="7"/>
      <c r="E13" s="1"/>
      <c r="F13" s="40"/>
      <c r="G13" s="1"/>
      <c r="H13" s="7"/>
      <c r="I13" s="24"/>
      <c r="J13" s="1"/>
      <c r="K13" s="1"/>
    </row>
    <row r="14" ht="6.75" customHeight="1">
      <c r="A14" s="1"/>
      <c r="B14" s="12"/>
      <c r="C14" s="45"/>
      <c r="D14" s="7"/>
      <c r="E14" s="1"/>
      <c r="F14" s="40"/>
      <c r="G14" s="1"/>
      <c r="H14" s="7"/>
      <c r="I14" s="24"/>
      <c r="J14" s="1"/>
      <c r="K14" s="1"/>
    </row>
    <row r="15" ht="6.75" customHeight="1">
      <c r="A15" s="1"/>
      <c r="B15" s="21"/>
      <c r="C15" s="1"/>
      <c r="D15" s="40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</row>
    <row r="16" ht="6.75" customHeight="1">
      <c r="B16" s="70" t="str">
        <f>'D07'!B38</f>
        <v>Freq.Ann (Annual Frequency)</v>
      </c>
      <c r="D16" s="40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</row>
    <row r="17" ht="6.75" customHeight="1">
      <c r="D17" s="7"/>
      <c r="E17" s="1"/>
      <c r="F17" s="7"/>
      <c r="G17" s="1"/>
      <c r="H17" s="1"/>
      <c r="I17" s="24"/>
      <c r="J17" s="1"/>
      <c r="K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1"/>
      <c r="J27" s="30" t="str">
        <f>IFERROR(__xludf.DUMMYFUNCTION("""COMPUTED_VALUE"""),"4-2-通風排出裝置未啟動")</f>
        <v>4-2-通風排出裝置未啟動</v>
      </c>
      <c r="K27" s="9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IFERROR(__xludf.DUMMYFUNCTION("""COMPUTED_VALUE"""),"R026=72.4% ~ 75.0%")</f>
        <v>R026=72.4% ~ 75.0%</v>
      </c>
      <c r="K28" s="15"/>
    </row>
  </sheetData>
  <mergeCells count="15">
    <mergeCell ref="D10:E10"/>
    <mergeCell ref="D11:E11"/>
    <mergeCell ref="B12:B15"/>
    <mergeCell ref="H15:I15"/>
    <mergeCell ref="B16:B17"/>
    <mergeCell ref="H16:I16"/>
    <mergeCell ref="J27:K27"/>
    <mergeCell ref="J28:K28"/>
    <mergeCell ref="H2:I2"/>
    <mergeCell ref="H3:I3"/>
    <mergeCell ref="J4:K4"/>
    <mergeCell ref="J5:K5"/>
    <mergeCell ref="F8:G8"/>
    <mergeCell ref="F9:G9"/>
    <mergeCell ref="B10:B1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</cols>
  <sheetData>
    <row r="1" ht="6.75" customHeight="1">
      <c r="A1" s="1"/>
      <c r="B1" s="1"/>
      <c r="C1" s="1"/>
      <c r="D1" s="1"/>
      <c r="E1" s="1"/>
      <c r="F1" s="1" t="str">
        <f>IFERROR(__xludf.DUMMYFUNCTION("IMPORTRANGE(""https://docs.google.com/spreadsheets/d/1UImQ1ocFMEFZOYmlUDjovDz_rFGbq88uQHJf4KoeLU4/edit?gid=1432559478#gid=1432559478"",""'D09'!F1:M33"")"),"")</f>
        <v/>
      </c>
      <c r="G1" s="1"/>
      <c r="H1" s="1"/>
      <c r="I1" s="1"/>
      <c r="J1" s="1"/>
      <c r="K1" s="1"/>
      <c r="L1" s="1"/>
      <c r="M1" s="1"/>
      <c r="N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'D06'!N2</f>
        <v>Impact 02</v>
      </c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IFERROR(__xludf.DUMMYFUNCTION("""COMPUTED_VALUE"""),"R006=61.1% ~ 67.5%")</f>
        <v>R006=61.1% ~ 67.5%</v>
      </c>
      <c r="M3" s="15"/>
      <c r="N3" s="10" t="str">
        <f>'D06'!N3</f>
        <v>P(02)=1.570%</v>
      </c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35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IFERROR(__xludf.DUMMYFUNCTION("""COMPUTED_VALUE"""),"R005=25.0% ~ 27.6%")</f>
        <v>R005=25.0% ~ 27.6%</v>
      </c>
      <c r="K5" s="14"/>
      <c r="L5" s="7"/>
      <c r="M5" s="1"/>
      <c r="N5" s="35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9"/>
      <c r="N6" s="1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IFERROR(__xludf.DUMMYFUNCTION("""COMPUTED_VALUE"""),"R007=32.5% ~ 38.9%")</f>
        <v>R007=32.5% ~ 38.9%</v>
      </c>
      <c r="M7" s="15"/>
      <c r="N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71"/>
    </row>
    <row r="10" ht="6.75" customHeight="1">
      <c r="A10" s="1"/>
      <c r="B10" s="47" t="str">
        <f>'D07'!B32</f>
        <v>頂層事件(Top Event )</v>
      </c>
      <c r="C10" s="1"/>
      <c r="D10" s="8" t="str">
        <f>'D07'!D32</f>
        <v>1-1-值班室或EWCS通報電池異常</v>
      </c>
      <c r="E10" s="20"/>
      <c r="F10" s="7"/>
      <c r="G10" s="24"/>
      <c r="H10" s="7"/>
      <c r="I10" s="24"/>
      <c r="J10" s="35"/>
      <c r="K10" s="1"/>
      <c r="L10" s="1"/>
      <c r="M10" s="1"/>
      <c r="N10" s="71"/>
    </row>
    <row r="11" ht="6.75" customHeight="1">
      <c r="A11" s="1"/>
      <c r="B11" s="9"/>
      <c r="C11" s="1"/>
      <c r="D11" s="13" t="str">
        <f>'D07'!D33</f>
        <v>R001=59.9% ~ 66.2%</v>
      </c>
      <c r="E11" s="14"/>
      <c r="F11" s="7"/>
      <c r="G11" s="1"/>
      <c r="H11" s="7"/>
      <c r="I11" s="24"/>
      <c r="J11" s="1"/>
      <c r="K11" s="1"/>
      <c r="L11" s="1"/>
      <c r="M11" s="1"/>
      <c r="N11" s="1"/>
    </row>
    <row r="12" ht="6.75" customHeight="1">
      <c r="A12" s="1"/>
      <c r="B12" s="69" t="str">
        <f>'D07'!B34</f>
        <v>電芯溫度或壓力達危險界限FTop(t)
The Temperature or Pressure of the Cell Reaches Dangerous Levels</v>
      </c>
      <c r="C12" s="1"/>
      <c r="D12" s="7"/>
      <c r="E12" s="1"/>
      <c r="F12" s="7"/>
      <c r="G12" s="1"/>
      <c r="H12" s="7"/>
      <c r="I12" s="24"/>
      <c r="J12" s="1"/>
      <c r="K12" s="1"/>
      <c r="L12" s="1"/>
      <c r="M12" s="1"/>
      <c r="N12" s="1"/>
    </row>
    <row r="13" ht="6.75" customHeight="1">
      <c r="A13" s="1"/>
      <c r="B13" s="12"/>
      <c r="C13" s="51"/>
      <c r="D13" s="7"/>
      <c r="E13" s="1"/>
      <c r="F13" s="40"/>
      <c r="G13" s="1"/>
      <c r="H13" s="7"/>
      <c r="I13" s="24"/>
      <c r="J13" s="1"/>
      <c r="K13" s="1"/>
      <c r="L13" s="1"/>
      <c r="M13" s="1"/>
      <c r="N13" s="1"/>
    </row>
    <row r="14" ht="6.75" customHeight="1">
      <c r="A14" s="1"/>
      <c r="B14" s="12"/>
      <c r="C14" s="45"/>
      <c r="D14" s="7"/>
      <c r="E14" s="1"/>
      <c r="F14" s="40"/>
      <c r="G14" s="1"/>
      <c r="H14" s="7"/>
      <c r="I14" s="24"/>
      <c r="J14" s="1"/>
      <c r="K14" s="1"/>
      <c r="L14" s="1"/>
      <c r="M14" s="1"/>
      <c r="N14" s="1"/>
    </row>
    <row r="15" ht="6.75" customHeight="1">
      <c r="A15" s="1"/>
      <c r="B15" s="21"/>
      <c r="C15" s="1"/>
      <c r="D15" s="40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</row>
    <row r="16" ht="6.75" customHeight="1">
      <c r="B16" s="70" t="str">
        <f>'D07'!B38</f>
        <v>Freq.Ann (Annual Frequency)</v>
      </c>
      <c r="D16" s="40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</row>
    <row r="17" ht="6.75" customHeight="1">
      <c r="D17" s="7"/>
      <c r="E17" s="1"/>
      <c r="F17" s="7"/>
      <c r="G17" s="1"/>
      <c r="H17" s="1"/>
      <c r="I17" s="24"/>
      <c r="J17" s="1"/>
      <c r="K17" s="1"/>
      <c r="L17" s="1"/>
      <c r="M17" s="1"/>
      <c r="N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'D06'!N25</f>
        <v>Impact 13</v>
      </c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IFERROR(__xludf.DUMMYFUNCTION("""COMPUTED_VALUE"""),"R027=61.1% ~ 67.5%")</f>
        <v>R027=61.1% ~ 67.5%</v>
      </c>
      <c r="M26" s="15"/>
      <c r="N26" s="10" t="str">
        <f>'D06'!N26</f>
        <v>P(13)=4.418%</v>
      </c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35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IFERROR(__xludf.DUMMYFUNCTION("""COMPUTED_VALUE"""),"R026=72.4% ~ 75.0%")</f>
        <v>R026=72.4% ~ 75.0%</v>
      </c>
      <c r="K28" s="14"/>
      <c r="L28" s="7"/>
      <c r="M28" s="1"/>
      <c r="N28" s="35"/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9"/>
      <c r="N29" s="1"/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IFERROR(__xludf.DUMMYFUNCTION("""COMPUTED_VALUE"""),"R028=32.5% ~ 38.9%")</f>
        <v>R028=32.5% ~ 38.9%</v>
      </c>
      <c r="M30" s="15"/>
      <c r="N30" s="1"/>
    </row>
  </sheetData>
  <mergeCells count="23">
    <mergeCell ref="H2:I2"/>
    <mergeCell ref="L2:M2"/>
    <mergeCell ref="H3:I3"/>
    <mergeCell ref="L3:M3"/>
    <mergeCell ref="J4:K4"/>
    <mergeCell ref="J5:K5"/>
    <mergeCell ref="L6:M6"/>
    <mergeCell ref="B12:B15"/>
    <mergeCell ref="B16:B17"/>
    <mergeCell ref="L7:M7"/>
    <mergeCell ref="L25:M25"/>
    <mergeCell ref="L26:M26"/>
    <mergeCell ref="J27:K27"/>
    <mergeCell ref="J28:K28"/>
    <mergeCell ref="L29:M29"/>
    <mergeCell ref="L30:M30"/>
    <mergeCell ref="F8:G8"/>
    <mergeCell ref="F9:G9"/>
    <mergeCell ref="B10:B11"/>
    <mergeCell ref="D10:E10"/>
    <mergeCell ref="D11:E11"/>
    <mergeCell ref="H15:I15"/>
    <mergeCell ref="H16:I1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</cols>
  <sheetData>
    <row r="1" ht="6.75" customHeight="1">
      <c r="A1" s="1"/>
      <c r="B1" s="1"/>
      <c r="C1" s="1"/>
      <c r="D1" s="1"/>
      <c r="E1" s="1"/>
      <c r="F1" s="1" t="str">
        <f>IFERROR(__xludf.DUMMYFUNCTION("IMPORTRANGE(""https://docs.google.com/spreadsheets/d/1UImQ1ocFMEFZOYmlUDjovDz_rFGbq88uQHJf4KoeLU4/edit?gid=1432559478#gid=1432559478"",""'D09'!F1:O33"")"),"")</f>
        <v/>
      </c>
      <c r="G1" s="1"/>
      <c r="H1" s="1"/>
      <c r="I1" s="1"/>
      <c r="J1" s="1"/>
      <c r="K1" s="1"/>
      <c r="L1" s="1"/>
      <c r="M1" s="1"/>
      <c r="N1" s="1"/>
      <c r="O1" s="1"/>
      <c r="P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IFERROR(__xludf.DUMMYFUNCTION("""COMPUTED_VALUE"""),"R006=61.1% ~ 67.5%")</f>
        <v>R006=61.1% ~ 67.5%</v>
      </c>
      <c r="M3" s="15"/>
      <c r="N3" s="10" t="str">
        <f>IFERROR(__xludf.DUMMYFUNCTION("""COMPUTED_VALUE"""),"P(02)=1.570%")</f>
        <v>P(02)=1.570%</v>
      </c>
      <c r="O3" s="1"/>
      <c r="P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'D07'!P4</f>
        <v>Impact 03</v>
      </c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IFERROR(__xludf.DUMMYFUNCTION("""COMPUTED_VALUE"""),"R005=25.0% ~ 27.6%")</f>
        <v>R005=25.0% ~ 27.6%</v>
      </c>
      <c r="K5" s="14"/>
      <c r="L5" s="7"/>
      <c r="M5" s="1"/>
      <c r="N5" s="13" t="str">
        <f>IFERROR(__xludf.DUMMYFUNCTION("""COMPUTED_VALUE"""),"R008=70.0% ~ 77.3%")</f>
        <v>R008=70.0% ~ 77.3%</v>
      </c>
      <c r="O5" s="15"/>
      <c r="P5" s="10" t="str">
        <f>'D07'!P5</f>
        <v>P(03)=0.647%</v>
      </c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35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IFERROR(__xludf.DUMMYFUNCTION("""COMPUTED_VALUE"""),"R007=32.5% ~ 38.9%")</f>
        <v>R007=32.5% ~ 38.9%</v>
      </c>
      <c r="M7" s="14"/>
      <c r="N7" s="7"/>
      <c r="O7" s="1"/>
      <c r="P7" s="35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9"/>
      <c r="P9" s="1"/>
    </row>
    <row r="10" ht="6.75" customHeight="1">
      <c r="A10" s="1"/>
      <c r="B10" s="47" t="str">
        <f>'D07'!B32</f>
        <v>頂層事件(Top Event )</v>
      </c>
      <c r="C10" s="1"/>
      <c r="D10" s="8" t="str">
        <f>'D07'!D32</f>
        <v>1-1-值班室或EWCS通報電池異常</v>
      </c>
      <c r="E10" s="20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IFERROR(__xludf.DUMMYFUNCTION("""COMPUTED_VALUE"""),"R009=22.7% ~ 30.0%")</f>
        <v>R009=22.7% ~ 30.0%</v>
      </c>
      <c r="O10" s="15"/>
      <c r="P10" s="1"/>
    </row>
    <row r="11" ht="6.75" customHeight="1">
      <c r="A11" s="1"/>
      <c r="B11" s="9"/>
      <c r="C11" s="1"/>
      <c r="D11" s="13" t="str">
        <f>'D07'!D33</f>
        <v>R001=59.9% ~ 66.2%</v>
      </c>
      <c r="E11" s="14"/>
      <c r="F11" s="7"/>
      <c r="G11" s="1"/>
      <c r="H11" s="7"/>
      <c r="I11" s="24"/>
      <c r="J11" s="1"/>
      <c r="K11" s="1"/>
      <c r="L11" s="1"/>
      <c r="M11" s="1"/>
      <c r="N11" s="1"/>
      <c r="O11" s="1"/>
      <c r="P11" s="1"/>
    </row>
    <row r="12" ht="6.75" customHeight="1">
      <c r="A12" s="1"/>
      <c r="B12" s="69" t="str">
        <f>'D07'!B34</f>
        <v>電芯溫度或壓力達危險界限FTop(t)
The Temperature or Pressure of the Cell Reaches Dangerous Levels</v>
      </c>
      <c r="C12" s="1"/>
      <c r="D12" s="7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1"/>
    </row>
    <row r="13" ht="6.75" customHeight="1">
      <c r="A13" s="1"/>
      <c r="B13" s="12"/>
      <c r="C13" s="51"/>
      <c r="D13" s="7"/>
      <c r="E13" s="1"/>
      <c r="F13" s="40"/>
      <c r="G13" s="1"/>
      <c r="H13" s="7"/>
      <c r="I13" s="24"/>
      <c r="J13" s="1"/>
      <c r="K13" s="1"/>
      <c r="L13" s="1"/>
      <c r="M13" s="1"/>
      <c r="N13" s="1"/>
      <c r="O13" s="1"/>
      <c r="P13" s="1"/>
    </row>
    <row r="14" ht="6.75" customHeight="1">
      <c r="A14" s="1"/>
      <c r="B14" s="12"/>
      <c r="C14" s="45"/>
      <c r="D14" s="7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71"/>
    </row>
    <row r="15" ht="6.75" customHeight="1">
      <c r="A15" s="1"/>
      <c r="B15" s="21"/>
      <c r="C15" s="1"/>
      <c r="D15" s="40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71"/>
    </row>
    <row r="16" ht="6.75" customHeight="1">
      <c r="B16" s="70" t="str">
        <f>'D07'!B38</f>
        <v>Freq.Ann (Annual Frequency)</v>
      </c>
      <c r="D16" s="40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</row>
    <row r="17" ht="6.75" customHeight="1">
      <c r="D17" s="7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IFERROR(__xludf.DUMMYFUNCTION("""COMPUTED_VALUE"""),"R027=61.1% ~ 67.5%")</f>
        <v>R027=61.1% ~ 67.5%</v>
      </c>
      <c r="M26" s="15"/>
      <c r="N26" s="10" t="str">
        <f>IFERROR(__xludf.DUMMYFUNCTION("""COMPUTED_VALUE"""),"P(13)=4.418%")</f>
        <v>P(13)=4.418%</v>
      </c>
      <c r="O26" s="1"/>
      <c r="P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'D07'!P27</f>
        <v>Impact 14</v>
      </c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IFERROR(__xludf.DUMMYFUNCTION("""COMPUTED_VALUE"""),"R026=72.4% ~ 75.0%")</f>
        <v>R026=72.4% ~ 75.0%</v>
      </c>
      <c r="K28" s="14"/>
      <c r="L28" s="7"/>
      <c r="M28" s="1"/>
      <c r="N28" s="13" t="str">
        <f>IFERROR(__xludf.DUMMYFUNCTION("""COMPUTED_VALUE"""),"R029=70.0% ~ 77.3%")</f>
        <v>R029=70.0% ~ 77.3%</v>
      </c>
      <c r="O28" s="15"/>
      <c r="P28" s="10" t="str">
        <f>'D07'!P28</f>
        <v>P(14)=1.784%</v>
      </c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35"/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IFERROR(__xludf.DUMMYFUNCTION("""COMPUTED_VALUE"""),"R028=32.5% ~ 38.9%")</f>
        <v>R028=32.5% ~ 38.9%</v>
      </c>
      <c r="M30" s="14"/>
      <c r="N30" s="7"/>
      <c r="O30" s="1"/>
      <c r="P30" s="35"/>
    </row>
    <row r="31" ht="6.75" customHeight="1">
      <c r="F31" s="7"/>
      <c r="G31" s="1"/>
      <c r="H31" s="1"/>
      <c r="I31" s="1"/>
      <c r="J31" s="1"/>
      <c r="K31" s="1"/>
      <c r="L31" s="1"/>
      <c r="M31" s="1"/>
      <c r="N31" s="7"/>
      <c r="O31" s="1"/>
      <c r="P31" s="1"/>
    </row>
    <row r="32" ht="6.75" customHeight="1"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9"/>
      <c r="P32" s="1"/>
    </row>
    <row r="33" ht="6.75" customHeight="1"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IFERROR(__xludf.DUMMYFUNCTION("""COMPUTED_VALUE"""),"R030=22.7% ~ 30.0%")</f>
        <v>R030=22.7% ~ 30.0%</v>
      </c>
      <c r="O33" s="15"/>
      <c r="P33" s="1"/>
    </row>
  </sheetData>
  <mergeCells count="31">
    <mergeCell ref="H2:I2"/>
    <mergeCell ref="L2:M2"/>
    <mergeCell ref="H3:I3"/>
    <mergeCell ref="L3:M3"/>
    <mergeCell ref="J4:K4"/>
    <mergeCell ref="N4:O4"/>
    <mergeCell ref="J5:K5"/>
    <mergeCell ref="B10:B11"/>
    <mergeCell ref="B12:B15"/>
    <mergeCell ref="H15:I15"/>
    <mergeCell ref="B16:B17"/>
    <mergeCell ref="H16:I16"/>
    <mergeCell ref="N5:O5"/>
    <mergeCell ref="L6:M6"/>
    <mergeCell ref="L7:M7"/>
    <mergeCell ref="F8:G8"/>
    <mergeCell ref="F9:G9"/>
    <mergeCell ref="D10:E10"/>
    <mergeCell ref="D11:E11"/>
    <mergeCell ref="N28:O28"/>
    <mergeCell ref="L29:M29"/>
    <mergeCell ref="L30:M30"/>
    <mergeCell ref="N32:O32"/>
    <mergeCell ref="N33:O33"/>
    <mergeCell ref="N9:O9"/>
    <mergeCell ref="N10:O10"/>
    <mergeCell ref="L25:M25"/>
    <mergeCell ref="L26:M26"/>
    <mergeCell ref="J27:K27"/>
    <mergeCell ref="N27:O27"/>
    <mergeCell ref="J28:K28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</cols>
  <sheetData>
    <row r="1" ht="6.75" customHeight="1">
      <c r="A1" s="1" t="str">
        <f>IFERROR(__xludf.DUMMYFUNCTION("IMPORTRANGE(""https://docs.google.com/spreadsheets/d/1UImQ1ocFMEFZOYmlUDjovDz_rFGbq88uQHJf4KoeLU4/edit?gid=1432559478#gid=1432559478"",""'D09'!A1:Q37"")"),"")</f>
        <v/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  <c r="Q2" s="1"/>
      <c r="R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IFERROR(__xludf.DUMMYFUNCTION("""COMPUTED_VALUE"""),"R006=61.1% ~ 67.5%")</f>
        <v>R006=61.1% ~ 67.5%</v>
      </c>
      <c r="M3" s="15"/>
      <c r="N3" s="10" t="str">
        <f>IFERROR(__xludf.DUMMYFUNCTION("""COMPUTED_VALUE"""),"P(02)=1.570%")</f>
        <v>P(02)=1.570%</v>
      </c>
      <c r="O3" s="1"/>
      <c r="P3" s="1"/>
      <c r="Q3" s="1"/>
      <c r="R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IFERROR(__xludf.DUMMYFUNCTION("""COMPUTED_VALUE"""),"Impact 03")</f>
        <v>Impact 03</v>
      </c>
      <c r="Q4" s="1"/>
      <c r="R4" s="1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IFERROR(__xludf.DUMMYFUNCTION("""COMPUTED_VALUE"""),"R005=25.0% ~ 27.6%")</f>
        <v>R005=25.0% ~ 27.6%</v>
      </c>
      <c r="K5" s="14"/>
      <c r="L5" s="7"/>
      <c r="M5" s="1"/>
      <c r="N5" s="13" t="str">
        <f>IFERROR(__xludf.DUMMYFUNCTION("""COMPUTED_VALUE"""),"R008=70.0% ~ 77.3%")</f>
        <v>R008=70.0% ~ 77.3%</v>
      </c>
      <c r="O5" s="15"/>
      <c r="P5" s="10" t="str">
        <f>IFERROR(__xludf.DUMMYFUNCTION("""COMPUTED_VALUE"""),"P(03)=0.647%")</f>
        <v>P(03)=0.647%</v>
      </c>
      <c r="Q5" s="1"/>
      <c r="R5" s="1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8" t="str">
        <f>IFERROR(__xludf.DUMMYFUNCTION("""COMPUTED_VALUE"""),"7-1-未發生電池櫃熱失控傳播現象")</f>
        <v>7-1-未發生電池櫃熱失控傳播現象</v>
      </c>
      <c r="Q6" s="9"/>
      <c r="R6" s="10" t="str">
        <f>'D08'!R6</f>
        <v>Impact 04</v>
      </c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IFERROR(__xludf.DUMMYFUNCTION("""COMPUTED_VALUE"""),"R007=32.5% ~ 38.9%")</f>
        <v>R007=32.5% ~ 38.9%</v>
      </c>
      <c r="M7" s="14"/>
      <c r="N7" s="7"/>
      <c r="O7" s="1"/>
      <c r="P7" s="13" t="str">
        <f>IFERROR(__xludf.DUMMYFUNCTION("""COMPUTED_VALUE"""),"R010=73.1% ~ 80.8%")</f>
        <v>R010=73.1% ~ 80.8%</v>
      </c>
      <c r="Q7" s="15"/>
      <c r="R7" s="10" t="str">
        <f>'D08'!R7</f>
        <v>P(04)=0.178%</v>
      </c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7"/>
      <c r="Q8" s="1"/>
      <c r="R8" s="35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20"/>
      <c r="P9" s="7"/>
      <c r="Q9" s="1"/>
      <c r="R9" s="35"/>
    </row>
    <row r="10" ht="6.75" customHeight="1">
      <c r="A10" s="1"/>
      <c r="B10" s="1"/>
      <c r="C10" s="1"/>
      <c r="D10" s="1"/>
      <c r="E10" s="1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IFERROR(__xludf.DUMMYFUNCTION("""COMPUTED_VALUE"""),"R009=22.7% ~ 30.0%")</f>
        <v>R009=22.7% ~ 30.0%</v>
      </c>
      <c r="O10" s="14"/>
      <c r="P10" s="7"/>
      <c r="Q10" s="1"/>
      <c r="R10" s="1"/>
    </row>
    <row r="11" ht="6.75" customHeight="1">
      <c r="A11" s="1"/>
      <c r="B11" s="1"/>
      <c r="C11" s="1"/>
      <c r="D11" s="1"/>
      <c r="E11" s="1"/>
      <c r="F11" s="7"/>
      <c r="G11" s="1"/>
      <c r="H11" s="7"/>
      <c r="I11" s="24"/>
      <c r="J11" s="1"/>
      <c r="K11" s="1"/>
      <c r="L11" s="1"/>
      <c r="M11" s="1"/>
      <c r="N11" s="1"/>
      <c r="O11" s="1"/>
      <c r="P11" s="7"/>
      <c r="Q11" s="1"/>
      <c r="R11" s="1"/>
    </row>
    <row r="12" ht="6.75" customHeight="1">
      <c r="A12" s="1"/>
      <c r="B12" s="1"/>
      <c r="C12" s="1"/>
      <c r="D12" s="1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7"/>
      <c r="Q12" s="1"/>
      <c r="R12" s="1"/>
    </row>
    <row r="13" ht="6.75" customHeight="1">
      <c r="A13" s="1"/>
      <c r="B13" s="1"/>
      <c r="C13" s="1"/>
      <c r="D13" s="1"/>
      <c r="E13" s="1"/>
      <c r="F13" s="40"/>
      <c r="G13" s="1"/>
      <c r="H13" s="7"/>
      <c r="I13" s="24"/>
      <c r="J13" s="1"/>
      <c r="K13" s="1"/>
      <c r="L13" s="1"/>
      <c r="M13" s="1"/>
      <c r="N13" s="1"/>
      <c r="O13" s="24"/>
      <c r="P13" s="1"/>
      <c r="Q13" s="1"/>
      <c r="R13" s="1"/>
    </row>
    <row r="14" ht="6.75" customHeight="1">
      <c r="A14" s="1"/>
      <c r="B14" s="1"/>
      <c r="C14" s="1"/>
      <c r="D14" s="1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30" t="str">
        <f>IFERROR(__xludf.DUMMYFUNCTION("""COMPUTED_VALUE"""),"7-2-發生電池櫃熱失控傳播現象")</f>
        <v>7-2-發生電池櫃熱失控傳播現象</v>
      </c>
      <c r="Q14" s="9"/>
      <c r="R14" s="1"/>
    </row>
    <row r="15" ht="6.75" customHeight="1">
      <c r="A15" s="1"/>
      <c r="B15" s="1"/>
      <c r="C15" s="1"/>
      <c r="D15" s="1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32" t="str">
        <f>IFERROR(__xludf.DUMMYFUNCTION("""COMPUTED_VALUE"""),"R011=19.2% ~ 26.9%")</f>
        <v>R011=19.2% ~ 26.9%</v>
      </c>
      <c r="Q15" s="15"/>
      <c r="R15" s="1"/>
    </row>
    <row r="16" ht="6.75" customHeight="1">
      <c r="A16" s="1"/>
      <c r="B16" s="1"/>
      <c r="C16" s="1"/>
      <c r="D16" s="1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  <c r="Q16" s="1"/>
      <c r="R16" s="1"/>
    </row>
    <row r="17" ht="6.75" customHeight="1">
      <c r="A17" s="1"/>
      <c r="B17" s="1"/>
      <c r="C17" s="1"/>
      <c r="D17" s="1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  <c r="Q17" s="1"/>
      <c r="R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  <c r="Q18" s="1"/>
      <c r="R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  <c r="Q19" s="1"/>
      <c r="R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  <c r="Q20" s="1"/>
      <c r="R20" s="7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  <c r="Q21" s="1"/>
      <c r="R21" s="7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  <c r="Q22" s="1"/>
      <c r="R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  <c r="Q23" s="1"/>
      <c r="R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  <c r="Q24" s="1"/>
      <c r="R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  <c r="Q25" s="1"/>
      <c r="R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IFERROR(__xludf.DUMMYFUNCTION("""COMPUTED_VALUE"""),"R027=61.1% ~ 67.5%")</f>
        <v>R027=61.1% ~ 67.5%</v>
      </c>
      <c r="M26" s="15"/>
      <c r="N26" s="10" t="str">
        <f>IFERROR(__xludf.DUMMYFUNCTION("""COMPUTED_VALUE"""),"P(13)=4.418%")</f>
        <v>P(13)=4.418%</v>
      </c>
      <c r="O26" s="1"/>
      <c r="P26" s="1"/>
      <c r="Q26" s="1"/>
      <c r="R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IFERROR(__xludf.DUMMYFUNCTION("""COMPUTED_VALUE"""),"Impact 14")</f>
        <v>Impact 14</v>
      </c>
      <c r="Q27" s="1"/>
      <c r="R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IFERROR(__xludf.DUMMYFUNCTION("""COMPUTED_VALUE"""),"R026=72.4% ~ 75.0%")</f>
        <v>R026=72.4% ~ 75.0%</v>
      </c>
      <c r="K28" s="14"/>
      <c r="L28" s="7"/>
      <c r="M28" s="1"/>
      <c r="N28" s="13" t="str">
        <f>IFERROR(__xludf.DUMMYFUNCTION("""COMPUTED_VALUE"""),"R029=70.0% ~ 77.3%")</f>
        <v>R029=70.0% ~ 77.3%</v>
      </c>
      <c r="O28" s="15"/>
      <c r="P28" s="10" t="str">
        <f>IFERROR(__xludf.DUMMYFUNCTION("""COMPUTED_VALUE"""),"P(14)=1.784%")</f>
        <v>P(14)=1.784%</v>
      </c>
      <c r="Q28" s="1"/>
      <c r="R28" s="1"/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8" t="str">
        <f>IFERROR(__xludf.DUMMYFUNCTION("""COMPUTED_VALUE"""),"7-3-未發生電池櫃熱失控傳播現象")</f>
        <v>7-3-未發生電池櫃熱失控傳播現象</v>
      </c>
      <c r="Q29" s="9"/>
      <c r="R29" s="10" t="str">
        <f>'D08'!R29</f>
        <v>Impact 15</v>
      </c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IFERROR(__xludf.DUMMYFUNCTION("""COMPUTED_VALUE"""),"R028=32.5% ~ 38.9%")</f>
        <v>R028=32.5% ~ 38.9%</v>
      </c>
      <c r="M30" s="14"/>
      <c r="N30" s="7"/>
      <c r="O30" s="1"/>
      <c r="P30" s="13" t="str">
        <f>IFERROR(__xludf.DUMMYFUNCTION("""COMPUTED_VALUE"""),"R031=73.1% ~ 80.8%")</f>
        <v>R031=73.1% ~ 80.8%</v>
      </c>
      <c r="Q30" s="15"/>
      <c r="R30" s="10" t="str">
        <f>'D08'!R30</f>
        <v>P(15)=0.484%</v>
      </c>
    </row>
    <row r="31" ht="6.75" customHeight="1">
      <c r="A31" s="1"/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"/>
      <c r="N31" s="7"/>
      <c r="O31" s="1"/>
      <c r="P31" s="7"/>
      <c r="Q31" s="1"/>
      <c r="R31" s="35"/>
    </row>
    <row r="32" ht="6.75" customHeight="1">
      <c r="A32" s="1"/>
      <c r="B32" s="47" t="str">
        <f>IFERROR(__xludf.DUMMYFUNCTION("""COMPUTED_VALUE"""),"頂層事件(Top Event )")</f>
        <v>頂層事件(Top Event )</v>
      </c>
      <c r="C32" s="1"/>
      <c r="D32" s="8" t="str">
        <f>IFERROR(__xludf.DUMMYFUNCTION("""COMPUTED_VALUE"""),"1-1-值班室或EWCS通報電池異常")</f>
        <v>1-1-值班室或EWCS通報電池異常</v>
      </c>
      <c r="E32" s="20"/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20"/>
      <c r="P32" s="7"/>
      <c r="Q32" s="1"/>
      <c r="R32" s="35"/>
    </row>
    <row r="33" ht="6.75" customHeight="1">
      <c r="A33" s="1"/>
      <c r="B33" s="9"/>
      <c r="C33" s="1"/>
      <c r="D33" s="13" t="str">
        <f>IFERROR(__xludf.DUMMYFUNCTION("""COMPUTED_VALUE"""),"R001=59.9% ~ 66.2%")</f>
        <v>R001=59.9% ~ 66.2%</v>
      </c>
      <c r="E33" s="14"/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IFERROR(__xludf.DUMMYFUNCTION("""COMPUTED_VALUE"""),"R030=22.7% ~ 30.0%")</f>
        <v>R030=22.7% ~ 30.0%</v>
      </c>
      <c r="O33" s="14"/>
      <c r="P33" s="7"/>
      <c r="Q33" s="1"/>
      <c r="R33" s="1"/>
    </row>
    <row r="34" ht="6.75" customHeight="1">
      <c r="A34" s="1"/>
      <c r="B34" s="69" t="str">
        <f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C34" s="1"/>
      <c r="D34" s="7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7"/>
      <c r="Q34" s="1"/>
      <c r="R34" s="1"/>
    </row>
    <row r="35" ht="6.75" customHeight="1">
      <c r="A35" s="1"/>
      <c r="B35" s="12"/>
      <c r="C35" s="51"/>
      <c r="D35" s="7"/>
      <c r="E35" s="1"/>
      <c r="F35" s="7"/>
      <c r="G35" s="1"/>
      <c r="H35" s="1"/>
      <c r="I35" s="1"/>
      <c r="J35" s="1"/>
      <c r="K35" s="1"/>
      <c r="L35" s="1"/>
      <c r="M35" s="1"/>
      <c r="N35" s="1"/>
      <c r="O35" s="1"/>
      <c r="P35" s="7"/>
      <c r="Q35" s="1"/>
      <c r="R35" s="1"/>
    </row>
    <row r="36" ht="6.75" customHeight="1">
      <c r="A36" s="1"/>
      <c r="B36" s="12"/>
      <c r="C36" s="45"/>
      <c r="D36" s="7"/>
      <c r="E36" s="1"/>
      <c r="F36" s="7"/>
      <c r="G36" s="1"/>
      <c r="H36" s="1"/>
      <c r="I36" s="1"/>
      <c r="J36" s="1"/>
      <c r="K36" s="1"/>
      <c r="L36" s="1"/>
      <c r="M36" s="1"/>
      <c r="N36" s="1"/>
      <c r="O36" s="1"/>
      <c r="P36" s="30" t="str">
        <f>IFERROR(__xludf.DUMMYFUNCTION("""COMPUTED_VALUE"""),"7-4-發生電池櫃熱失控傳播現象")</f>
        <v>7-4-發生電池櫃熱失控傳播現象</v>
      </c>
      <c r="Q36" s="9"/>
      <c r="R36" s="1"/>
    </row>
    <row r="37" ht="6.75" customHeight="1">
      <c r="A37" s="1"/>
      <c r="B37" s="21"/>
      <c r="C37" s="1"/>
      <c r="D37" s="40"/>
      <c r="E37" s="1"/>
      <c r="F37" s="7"/>
      <c r="G37" s="1"/>
      <c r="H37" s="1"/>
      <c r="I37" s="1"/>
      <c r="J37" s="1"/>
      <c r="K37" s="1"/>
      <c r="L37" s="1"/>
      <c r="M37" s="1"/>
      <c r="N37" s="1"/>
      <c r="O37" s="1"/>
      <c r="P37" s="32" t="str">
        <f>IFERROR(__xludf.DUMMYFUNCTION("""COMPUTED_VALUE"""),"R032=19.2% ~ 26.9%")</f>
        <v>R032=19.2% ~ 26.9%</v>
      </c>
      <c r="Q37" s="15"/>
      <c r="R37" s="1"/>
    </row>
    <row r="38" ht="6.75" customHeight="1">
      <c r="B38" s="70" t="str">
        <f>'D08'!B38</f>
        <v>Freq.Ann (Annual Frequency)</v>
      </c>
      <c r="D38" s="3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71"/>
      <c r="Q38" s="71"/>
      <c r="R38" s="1"/>
    </row>
  </sheetData>
  <mergeCells count="38"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F9:G9"/>
    <mergeCell ref="N9:O9"/>
    <mergeCell ref="N10:O10"/>
    <mergeCell ref="P14:Q14"/>
    <mergeCell ref="H15:I15"/>
    <mergeCell ref="P15:Q15"/>
    <mergeCell ref="H16:I16"/>
    <mergeCell ref="L25:M25"/>
    <mergeCell ref="L26:M26"/>
    <mergeCell ref="J27:K27"/>
    <mergeCell ref="N27:O27"/>
    <mergeCell ref="J28:K28"/>
    <mergeCell ref="N28:O28"/>
    <mergeCell ref="L29:M29"/>
    <mergeCell ref="L30:M30"/>
    <mergeCell ref="P30:Q30"/>
    <mergeCell ref="P36:Q36"/>
    <mergeCell ref="P29:Q29"/>
    <mergeCell ref="B32:B33"/>
    <mergeCell ref="D32:E32"/>
    <mergeCell ref="N32:O32"/>
    <mergeCell ref="D33:E33"/>
    <mergeCell ref="N33:O33"/>
    <mergeCell ref="B34:B37"/>
    <mergeCell ref="P37:Q3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  <col customWidth="1" min="19" max="19" width="8.11"/>
  </cols>
  <sheetData>
    <row r="1" ht="6.75" customHeight="1">
      <c r="A1" s="1" t="str">
        <f>IFERROR(__xludf.DUMMYFUNCTION("IMPORTRANGE(""https://docs.google.com/spreadsheets/d/1UImQ1ocFMEFZOYmlUDjovDz_rFGbq88uQHJf4KoeLU4/edit?gid=1432559478#gid=1432559478"",""'D09'!A1:S44"")"),"")</f>
        <v/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  <c r="Q2" s="1"/>
      <c r="R2" s="1"/>
      <c r="S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IFERROR(__xludf.DUMMYFUNCTION("""COMPUTED_VALUE"""),"R006=61.1% ~ 67.5%")</f>
        <v>R006=61.1% ~ 67.5%</v>
      </c>
      <c r="M3" s="15"/>
      <c r="N3" s="10" t="str">
        <f>IFERROR(__xludf.DUMMYFUNCTION("""COMPUTED_VALUE"""),"P(02)=1.570%")</f>
        <v>P(02)=1.570%</v>
      </c>
      <c r="O3" s="1"/>
      <c r="P3" s="1"/>
      <c r="Q3" s="1"/>
      <c r="R3" s="1"/>
      <c r="S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IFERROR(__xludf.DUMMYFUNCTION("""COMPUTED_VALUE"""),"Impact 03")</f>
        <v>Impact 03</v>
      </c>
      <c r="Q4" s="1"/>
      <c r="R4" s="1"/>
      <c r="S4" s="1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IFERROR(__xludf.DUMMYFUNCTION("""COMPUTED_VALUE"""),"R005=25.0% ~ 27.6%")</f>
        <v>R005=25.0% ~ 27.6%</v>
      </c>
      <c r="K5" s="14"/>
      <c r="L5" s="7"/>
      <c r="M5" s="1"/>
      <c r="N5" s="13" t="str">
        <f>IFERROR(__xludf.DUMMYFUNCTION("""COMPUTED_VALUE"""),"R008=70.0% ~ 77.3%")</f>
        <v>R008=70.0% ~ 77.3%</v>
      </c>
      <c r="O5" s="15"/>
      <c r="P5" s="10" t="str">
        <f>IFERROR(__xludf.DUMMYFUNCTION("""COMPUTED_VALUE"""),"P(03)=0.647%")</f>
        <v>P(03)=0.647%</v>
      </c>
      <c r="Q5" s="1"/>
      <c r="R5" s="1"/>
      <c r="S5" s="1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8" t="str">
        <f>IFERROR(__xludf.DUMMYFUNCTION("""COMPUTED_VALUE"""),"7-1-未發生電池櫃熱失控傳播現象")</f>
        <v>7-1-未發生電池櫃熱失控傳播現象</v>
      </c>
      <c r="Q6" s="9"/>
      <c r="R6" s="10" t="str">
        <f>IFERROR(__xludf.DUMMYFUNCTION("""COMPUTED_VALUE"""),"Impact 04")</f>
        <v>Impact 04</v>
      </c>
      <c r="S6" s="1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IFERROR(__xludf.DUMMYFUNCTION("""COMPUTED_VALUE"""),"R007=32.5% ~ 38.9%")</f>
        <v>R007=32.5% ~ 38.9%</v>
      </c>
      <c r="M7" s="14"/>
      <c r="N7" s="7"/>
      <c r="O7" s="1"/>
      <c r="P7" s="13" t="str">
        <f>IFERROR(__xludf.DUMMYFUNCTION("""COMPUTED_VALUE"""),"R010=73.1% ~ 80.8%")</f>
        <v>R010=73.1% ~ 80.8%</v>
      </c>
      <c r="Q7" s="15"/>
      <c r="R7" s="10" t="str">
        <f>IFERROR(__xludf.DUMMYFUNCTION("""COMPUTED_VALUE"""),"P(04)=0.178%")</f>
        <v>P(04)=0.178%</v>
      </c>
      <c r="S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7"/>
      <c r="Q8" s="1"/>
      <c r="R8" s="35" t="str">
        <f>IFERROR(__xludf.DUMMYFUNCTION("""COMPUTED_VALUE"""),"8-1-可燃氣體濃度未達到LFL")</f>
        <v>8-1-可燃氣體濃度未達到LFL</v>
      </c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20"/>
      <c r="P9" s="7"/>
      <c r="Q9" s="1"/>
      <c r="R9" s="13" t="str">
        <f>IFERROR(__xludf.DUMMYFUNCTION("""COMPUTED_VALUE"""),"R012=49.2% ~ 54.4%")</f>
        <v>R012=49.2% ~ 54.4%</v>
      </c>
      <c r="S9" s="15"/>
    </row>
    <row r="10" ht="6.75" customHeight="1">
      <c r="A10" s="1"/>
      <c r="B10" s="1"/>
      <c r="C10" s="1"/>
      <c r="D10" s="1"/>
      <c r="E10" s="1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IFERROR(__xludf.DUMMYFUNCTION("""COMPUTED_VALUE"""),"R009=22.7% ~ 30.0%")</f>
        <v>R009=22.7% ~ 30.0%</v>
      </c>
      <c r="O10" s="14"/>
      <c r="P10" s="7"/>
      <c r="Q10" s="1"/>
      <c r="R10" s="7"/>
      <c r="S10" s="1"/>
    </row>
    <row r="11" ht="6.75" customHeight="1">
      <c r="A11" s="1"/>
      <c r="B11" s="1"/>
      <c r="C11" s="1"/>
      <c r="D11" s="1"/>
      <c r="E11" s="1"/>
      <c r="F11" s="7"/>
      <c r="G11" s="1"/>
      <c r="H11" s="7"/>
      <c r="I11" s="24"/>
      <c r="J11" s="1"/>
      <c r="K11" s="1"/>
      <c r="L11" s="1"/>
      <c r="M11" s="1"/>
      <c r="N11" s="1"/>
      <c r="O11" s="1"/>
      <c r="P11" s="7"/>
      <c r="Q11" s="1"/>
      <c r="R11" s="7"/>
      <c r="S11" s="1"/>
    </row>
    <row r="12" ht="6.75" customHeight="1">
      <c r="A12" s="1"/>
      <c r="B12" s="1"/>
      <c r="C12" s="1"/>
      <c r="D12" s="1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7"/>
      <c r="Q12" s="1"/>
      <c r="R12" s="7"/>
      <c r="S12" s="1"/>
    </row>
    <row r="13" ht="6.75" customHeight="1">
      <c r="A13" s="1"/>
      <c r="B13" s="1"/>
      <c r="C13" s="1"/>
      <c r="D13" s="1"/>
      <c r="E13" s="1"/>
      <c r="F13" s="40"/>
      <c r="G13" s="1"/>
      <c r="H13" s="7"/>
      <c r="I13" s="24"/>
      <c r="J13" s="1"/>
      <c r="K13" s="1"/>
      <c r="L13" s="1"/>
      <c r="M13" s="1"/>
      <c r="N13" s="1"/>
      <c r="O13" s="24"/>
      <c r="P13" s="1"/>
      <c r="Q13" s="1"/>
      <c r="R13" s="7"/>
      <c r="S13" s="1"/>
    </row>
    <row r="14" ht="6.75" customHeight="1">
      <c r="A14" s="1"/>
      <c r="B14" s="1"/>
      <c r="C14" s="1"/>
      <c r="D14" s="1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30" t="str">
        <f>IFERROR(__xludf.DUMMYFUNCTION("""COMPUTED_VALUE"""),"7-2-發生電池櫃熱失控傳播現象")</f>
        <v>7-2-發生電池櫃熱失控傳播現象</v>
      </c>
      <c r="Q14" s="20"/>
      <c r="R14" s="7"/>
      <c r="S14" s="1"/>
    </row>
    <row r="15" ht="6.75" customHeight="1">
      <c r="A15" s="1"/>
      <c r="B15" s="1"/>
      <c r="C15" s="1"/>
      <c r="D15" s="1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32" t="str">
        <f>IFERROR(__xludf.DUMMYFUNCTION("""COMPUTED_VALUE"""),"R011=19.2% ~ 26.9%")</f>
        <v>R011=19.2% ~ 26.9%</v>
      </c>
      <c r="Q15" s="14"/>
      <c r="R15" s="7"/>
      <c r="S15" s="1"/>
    </row>
    <row r="16" ht="6.75" customHeight="1">
      <c r="A16" s="1"/>
      <c r="B16" s="1"/>
      <c r="C16" s="1"/>
      <c r="D16" s="1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  <c r="Q16" s="1"/>
      <c r="R16" s="7"/>
      <c r="S16" s="1"/>
    </row>
    <row r="17" ht="6.75" customHeight="1">
      <c r="A17" s="1"/>
      <c r="B17" s="1"/>
      <c r="C17" s="1"/>
      <c r="D17" s="1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  <c r="Q17" s="1"/>
      <c r="R17" s="7"/>
      <c r="S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  <c r="Q18" s="1"/>
      <c r="R18" s="7"/>
      <c r="S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  <c r="Q19" s="24"/>
      <c r="R19" s="1"/>
      <c r="S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  <c r="Q20" s="1"/>
      <c r="R20" s="30" t="str">
        <f>IFERROR(__xludf.DUMMYFUNCTION("""COMPUTED_VALUE"""),"8-2-可燃氣體濃度達到LFL")</f>
        <v>8-2-可燃氣體濃度達到LFL</v>
      </c>
      <c r="S20" s="9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  <c r="Q21" s="1"/>
      <c r="R21" s="32" t="str">
        <f>IFERROR(__xludf.DUMMYFUNCTION("""COMPUTED_VALUE"""),"R019=45.6% ~ 50.8%")</f>
        <v>R019=45.6% ~ 50.8%</v>
      </c>
      <c r="S21" s="15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  <c r="Q25" s="1"/>
      <c r="R25" s="1"/>
      <c r="S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IFERROR(__xludf.DUMMYFUNCTION("""COMPUTED_VALUE"""),"R027=61.1% ~ 67.5%")</f>
        <v>R027=61.1% ~ 67.5%</v>
      </c>
      <c r="M26" s="15"/>
      <c r="N26" s="10" t="str">
        <f>IFERROR(__xludf.DUMMYFUNCTION("""COMPUTED_VALUE"""),"P(13)=4.418%")</f>
        <v>P(13)=4.418%</v>
      </c>
      <c r="O26" s="1"/>
      <c r="P26" s="1"/>
      <c r="Q26" s="1"/>
      <c r="R26" s="1"/>
      <c r="S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IFERROR(__xludf.DUMMYFUNCTION("""COMPUTED_VALUE"""),"Impact 14")</f>
        <v>Impact 14</v>
      </c>
      <c r="Q27" s="1"/>
      <c r="R27" s="1"/>
      <c r="S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IFERROR(__xludf.DUMMYFUNCTION("""COMPUTED_VALUE"""),"R026=72.4% ~ 75.0%")</f>
        <v>R026=72.4% ~ 75.0%</v>
      </c>
      <c r="K28" s="14"/>
      <c r="L28" s="7"/>
      <c r="M28" s="1"/>
      <c r="N28" s="13" t="str">
        <f>IFERROR(__xludf.DUMMYFUNCTION("""COMPUTED_VALUE"""),"R029=70.0% ~ 77.3%")</f>
        <v>R029=70.0% ~ 77.3%</v>
      </c>
      <c r="O28" s="15"/>
      <c r="P28" s="10" t="str">
        <f>IFERROR(__xludf.DUMMYFUNCTION("""COMPUTED_VALUE"""),"P(14)=1.784%")</f>
        <v>P(14)=1.784%</v>
      </c>
      <c r="Q28" s="1"/>
      <c r="R28" s="1"/>
      <c r="S28" s="1"/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8" t="str">
        <f>IFERROR(__xludf.DUMMYFUNCTION("""COMPUTED_VALUE"""),"7-3-未發生電池櫃熱失控傳播現象")</f>
        <v>7-3-未發生電池櫃熱失控傳播現象</v>
      </c>
      <c r="Q29" s="9"/>
      <c r="R29" s="10" t="str">
        <f>IFERROR(__xludf.DUMMYFUNCTION("""COMPUTED_VALUE"""),"Impact 15")</f>
        <v>Impact 15</v>
      </c>
      <c r="S29" s="1"/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IFERROR(__xludf.DUMMYFUNCTION("""COMPUTED_VALUE"""),"R028=32.5% ~ 38.9%")</f>
        <v>R028=32.5% ~ 38.9%</v>
      </c>
      <c r="M30" s="14"/>
      <c r="N30" s="7"/>
      <c r="O30" s="1"/>
      <c r="P30" s="13" t="str">
        <f>IFERROR(__xludf.DUMMYFUNCTION("""COMPUTED_VALUE"""),"R031=73.1% ~ 80.8%")</f>
        <v>R031=73.1% ~ 80.8%</v>
      </c>
      <c r="Q30" s="15"/>
      <c r="R30" s="10" t="str">
        <f>IFERROR(__xludf.DUMMYFUNCTION("""COMPUTED_VALUE"""),"P(15)=0.484%")</f>
        <v>P(15)=0.484%</v>
      </c>
      <c r="S30" s="1"/>
    </row>
    <row r="31" ht="6.75" customHeight="1">
      <c r="A31" s="1"/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"/>
      <c r="N31" s="7"/>
      <c r="O31" s="1"/>
      <c r="P31" s="7"/>
      <c r="Q31" s="1"/>
      <c r="R31" s="35" t="str">
        <f>IFERROR(__xludf.DUMMYFUNCTION("""COMPUTED_VALUE"""),"8-3-可燃氣體濃度未達到LFL")</f>
        <v>8-3-可燃氣體濃度未達到LFL</v>
      </c>
    </row>
    <row r="32" ht="6.75" customHeight="1">
      <c r="A32" s="1"/>
      <c r="B32" s="47" t="str">
        <f>IFERROR(__xludf.DUMMYFUNCTION("""COMPUTED_VALUE"""),"頂層事件(Top Event )")</f>
        <v>頂層事件(Top Event )</v>
      </c>
      <c r="C32" s="1"/>
      <c r="D32" s="8" t="str">
        <f>IFERROR(__xludf.DUMMYFUNCTION("""COMPUTED_VALUE"""),"1-1-值班室或EWCS通報電池異常")</f>
        <v>1-1-值班室或EWCS通報電池異常</v>
      </c>
      <c r="E32" s="20"/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20"/>
      <c r="P32" s="7"/>
      <c r="Q32" s="1"/>
      <c r="R32" s="13" t="str">
        <f>IFERROR(__xludf.DUMMYFUNCTION("""COMPUTED_VALUE"""),"R033=24.6% ~ 27.2%")</f>
        <v>R033=24.6% ~ 27.2%</v>
      </c>
      <c r="S32" s="15"/>
    </row>
    <row r="33" ht="6.75" customHeight="1">
      <c r="A33" s="1"/>
      <c r="B33" s="9"/>
      <c r="C33" s="1"/>
      <c r="D33" s="13" t="str">
        <f>IFERROR(__xludf.DUMMYFUNCTION("""COMPUTED_VALUE"""),"R001=59.9% ~ 66.2%")</f>
        <v>R001=59.9% ~ 66.2%</v>
      </c>
      <c r="E33" s="14"/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IFERROR(__xludf.DUMMYFUNCTION("""COMPUTED_VALUE"""),"R030=22.7% ~ 30.0%")</f>
        <v>R030=22.7% ~ 30.0%</v>
      </c>
      <c r="O33" s="14"/>
      <c r="P33" s="7"/>
      <c r="Q33" s="1"/>
      <c r="R33" s="7"/>
      <c r="S33" s="1"/>
    </row>
    <row r="34" ht="6.75" customHeight="1">
      <c r="A34" s="1"/>
      <c r="B34" s="69" t="str">
        <f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C34" s="1"/>
      <c r="D34" s="7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7"/>
      <c r="Q34" s="1"/>
      <c r="R34" s="7"/>
      <c r="S34" s="1"/>
    </row>
    <row r="35" ht="6.75" customHeight="1">
      <c r="A35" s="1"/>
      <c r="B35" s="12"/>
      <c r="C35" s="51"/>
      <c r="D35" s="7"/>
      <c r="E35" s="1"/>
      <c r="F35" s="7"/>
      <c r="G35" s="1"/>
      <c r="H35" s="1"/>
      <c r="I35" s="1"/>
      <c r="J35" s="1"/>
      <c r="K35" s="1"/>
      <c r="L35" s="1"/>
      <c r="M35" s="1"/>
      <c r="N35" s="1"/>
      <c r="O35" s="1"/>
      <c r="P35" s="7"/>
      <c r="Q35" s="1"/>
      <c r="R35" s="7"/>
      <c r="S35" s="1"/>
    </row>
    <row r="36" ht="6.75" customHeight="1">
      <c r="A36" s="1"/>
      <c r="B36" s="12"/>
      <c r="C36" s="45"/>
      <c r="D36" s="7"/>
      <c r="E36" s="1"/>
      <c r="F36" s="7"/>
      <c r="G36" s="1"/>
      <c r="H36" s="1"/>
      <c r="I36" s="1"/>
      <c r="J36" s="1"/>
      <c r="K36" s="1"/>
      <c r="L36" s="1"/>
      <c r="M36" s="1"/>
      <c r="N36" s="1"/>
      <c r="O36" s="1"/>
      <c r="P36" s="30" t="str">
        <f>IFERROR(__xludf.DUMMYFUNCTION("""COMPUTED_VALUE"""),"7-4-發生電池櫃熱失控傳播現象")</f>
        <v>7-4-發生電池櫃熱失控傳播現象</v>
      </c>
      <c r="Q36" s="20"/>
      <c r="R36" s="7"/>
      <c r="S36" s="1"/>
    </row>
    <row r="37" ht="6.75" customHeight="1">
      <c r="A37" s="1"/>
      <c r="B37" s="21"/>
      <c r="C37" s="1"/>
      <c r="D37" s="40"/>
      <c r="E37" s="1"/>
      <c r="F37" s="7"/>
      <c r="G37" s="1"/>
      <c r="H37" s="1"/>
      <c r="I37" s="1"/>
      <c r="J37" s="1"/>
      <c r="K37" s="1"/>
      <c r="L37" s="1"/>
      <c r="M37" s="1"/>
      <c r="N37" s="1"/>
      <c r="O37" s="1"/>
      <c r="P37" s="32" t="str">
        <f>IFERROR(__xludf.DUMMYFUNCTION("""COMPUTED_VALUE"""),"R032=19.2% ~ 26.9%")</f>
        <v>R032=19.2% ~ 26.9%</v>
      </c>
      <c r="Q37" s="14"/>
      <c r="R37" s="7"/>
      <c r="S37" s="1"/>
    </row>
    <row r="38" ht="6.75" customHeight="1">
      <c r="A38" s="72"/>
      <c r="B38" s="70" t="str">
        <f>IFERROR(__xludf.DUMMYFUNCTION("""COMPUTED_VALUE"""),"Freq.Ann (Annual Frequency)")</f>
        <v>Freq.Ann (Annual Frequency)</v>
      </c>
      <c r="C38" s="72"/>
      <c r="D38" s="40"/>
      <c r="E38" s="1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7"/>
      <c r="S38" s="1"/>
    </row>
    <row r="39" ht="6.75" customHeight="1">
      <c r="A39" s="72"/>
      <c r="C39" s="72"/>
      <c r="D39" s="7"/>
      <c r="E39" s="1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7"/>
      <c r="S39" s="1"/>
    </row>
    <row r="40" ht="6.75" customHeight="1">
      <c r="A40" s="72"/>
      <c r="B40" s="72"/>
      <c r="C40" s="72"/>
      <c r="D40" s="7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7"/>
      <c r="S40" s="1"/>
    </row>
    <row r="41" ht="6.75" customHeight="1">
      <c r="A41" s="72"/>
      <c r="B41" s="72"/>
      <c r="C41" s="72"/>
      <c r="D41" s="7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7"/>
      <c r="S41" s="1"/>
    </row>
    <row r="42" ht="6.75" customHeight="1">
      <c r="A42" s="1"/>
      <c r="B42" s="27"/>
      <c r="C42" s="1"/>
      <c r="D42" s="7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24"/>
      <c r="R42" s="1"/>
      <c r="S42" s="1"/>
    </row>
    <row r="43" ht="6.75" customHeight="1">
      <c r="A43" s="1"/>
      <c r="C43" s="1"/>
      <c r="D43" s="7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 t="str">
        <f>IFERROR(__xludf.DUMMYFUNCTION("""COMPUTED_VALUE"""),"8-4-可燃氣體濃度達到LFL")</f>
        <v>8-4-可燃氣體濃度達到LFL</v>
      </c>
      <c r="S43" s="9"/>
    </row>
    <row r="44" ht="6.75" customHeight="1">
      <c r="A44" s="1"/>
      <c r="B44" s="1"/>
      <c r="C44" s="1"/>
      <c r="D44" s="7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 t="str">
        <f>IFERROR(__xludf.DUMMYFUNCTION("""COMPUTED_VALUE"""),"R040=72.8% ~ 75.4%")</f>
        <v>R040=72.8% ~ 75.4%</v>
      </c>
      <c r="S44" s="15"/>
    </row>
  </sheetData>
  <mergeCells count="48"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J28:K28"/>
    <mergeCell ref="B32:B33"/>
    <mergeCell ref="D32:E32"/>
    <mergeCell ref="D33:E33"/>
    <mergeCell ref="B34:B37"/>
    <mergeCell ref="B38:B39"/>
    <mergeCell ref="B42:B43"/>
    <mergeCell ref="R31:S31"/>
    <mergeCell ref="R32:S32"/>
    <mergeCell ref="R43:S43"/>
    <mergeCell ref="R44:S44"/>
    <mergeCell ref="P30:Q30"/>
    <mergeCell ref="P36:Q36"/>
    <mergeCell ref="P37:Q37"/>
    <mergeCell ref="N27:O27"/>
    <mergeCell ref="N28:O28"/>
    <mergeCell ref="L29:M29"/>
    <mergeCell ref="P29:Q29"/>
    <mergeCell ref="L30:M30"/>
    <mergeCell ref="N32:O32"/>
    <mergeCell ref="N33:O33"/>
  </mergeCells>
  <printOptions/>
  <pageMargins bottom="0.75" footer="0.0" header="0.0" left="0.7" right="0.7" top="0.75"/>
  <pageSetup orientation="landscape"/>
  <drawing r:id="rId1"/>
</worksheet>
</file>